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4" documentId="8_{B0E46E87-34E7-4D44-9B27-E9F5B1BA7171}" xr6:coauthVersionLast="47" xr6:coauthVersionMax="47" xr10:uidLastSave="{2A64780D-C07A-49E2-BCD4-2446F50EABC6}"/>
  <bookViews>
    <workbookView xWindow="-120" yWindow="-120" windowWidth="20730" windowHeight="11160" tabRatio="783" activeTab="5" xr2:uid="{00000000-000D-0000-FFFF-FFFF00000000}"/>
  </bookViews>
  <sheets>
    <sheet name="UGHEU" sheetId="1" r:id="rId1"/>
    <sheet name="UGOI" sheetId="2" r:id="rId2"/>
    <sheet name="PGTHEU" sheetId="3" r:id="rId3"/>
    <sheet name="PGTOI" sheetId="4" r:id="rId4"/>
    <sheet name="PGRMHEU" sheetId="5" r:id="rId5"/>
    <sheet name="PGRMOI" sheetId="6" r:id="rId6"/>
    <sheet name="PGRHEU" sheetId="7" r:id="rId7"/>
    <sheet name="PGROI" sheetId="8" r:id="rId8"/>
    <sheet name="Miscellaneous" sheetId="9" r:id="rId9"/>
    <sheet name="Fee Policies" sheetId="10" r:id="rId10"/>
    <sheet name="Controlled Fees" sheetId="11" r:id="rId11"/>
  </sheets>
  <definedNames>
    <definedName name="FeeYear">'Controlled Fees'!$E$2</definedName>
    <definedName name="_xlnm.Print_Titles" localSheetId="4">PGRMHEU!$1:$4</definedName>
    <definedName name="_xlnm.Print_Titles" localSheetId="2">PGTHEU!$1:$4</definedName>
    <definedName name="_xlnm.Print_Titles" localSheetId="3">PGTOI!$1:$2</definedName>
    <definedName name="RCFee">'Controlled Fees'!$C$2</definedName>
    <definedName name="ReleaseYear">'Controlled Fees'!$D$2</definedName>
    <definedName name="RPIM">'Controlled Fees'!$F$2</definedName>
    <definedName name="UABP">'Controlled Fees'!$H$1:$H$47</definedName>
    <definedName name="UGOlderRules">'Controlled Fees'!$B$7</definedName>
    <definedName name="UGOlderRulesRR">'Controlled Fees'!$B$8</definedName>
    <definedName name="UGOldRules">'Controlled Fees'!$B$5</definedName>
    <definedName name="UGOldRulesRR">'Controlled Fees'!$B$6</definedName>
    <definedName name="UGProgLen">'Controlled Fees'!$J$1:$K$169</definedName>
    <definedName name="UGRRA">'Controlled Fees'!$B$4</definedName>
    <definedName name="UGRRI">'Controlled Fees'!$B$3</definedName>
    <definedName name="UGStd">'Controlled Fees'!$B$2</definedName>
    <definedName name="UGStdRRA">#REF!</definedName>
    <definedName name="UGStdRR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B2" i="3"/>
  <c r="B2" i="5"/>
  <c r="E92" i="4" l="1"/>
  <c r="E75" i="4"/>
  <c r="E69" i="4"/>
  <c r="E66" i="4"/>
  <c r="E66" i="3"/>
  <c r="D66" i="3"/>
  <c r="E63" i="4"/>
  <c r="E63" i="3"/>
  <c r="E62" i="4"/>
  <c r="E60" i="4"/>
  <c r="D60" i="4"/>
  <c r="D59" i="4"/>
  <c r="E56" i="4"/>
  <c r="E53" i="4"/>
  <c r="E51" i="4"/>
  <c r="D50" i="4"/>
  <c r="D47" i="4"/>
  <c r="E44" i="4"/>
  <c r="E43" i="4"/>
  <c r="D43" i="4"/>
  <c r="E42" i="4"/>
  <c r="E40" i="4" l="1"/>
  <c r="E47" i="4"/>
  <c r="E39" i="4" l="1"/>
  <c r="E61" i="4"/>
  <c r="D39" i="4"/>
  <c r="E23" i="4"/>
  <c r="E24" i="4" s="1"/>
  <c r="E21" i="4"/>
  <c r="E17" i="3"/>
  <c r="E16" i="3"/>
  <c r="E17" i="4"/>
  <c r="E16" i="4"/>
  <c r="E13" i="4"/>
  <c r="E14" i="4" s="1"/>
  <c r="E12" i="4"/>
  <c r="E11" i="4"/>
  <c r="E10" i="4"/>
  <c r="E9" i="4"/>
  <c r="E8" i="4"/>
  <c r="E6" i="4"/>
  <c r="D92" i="4"/>
  <c r="E85" i="4"/>
  <c r="D85" i="4"/>
  <c r="E84" i="4"/>
  <c r="D84" i="4"/>
  <c r="E83" i="4"/>
  <c r="D83" i="4"/>
  <c r="D75" i="4"/>
  <c r="D69" i="4"/>
  <c r="E67" i="4"/>
  <c r="D67" i="4"/>
  <c r="D66" i="4"/>
  <c r="D63" i="4"/>
  <c r="D62" i="4"/>
  <c r="D61" i="4"/>
  <c r="D44" i="4"/>
  <c r="D24" i="4"/>
  <c r="D23" i="4"/>
  <c r="D21" i="4"/>
  <c r="D17" i="4"/>
  <c r="D16" i="4"/>
  <c r="D14" i="4"/>
  <c r="D13" i="4"/>
  <c r="D12" i="4"/>
  <c r="D11" i="4"/>
  <c r="D6" i="4"/>
  <c r="D83" i="3"/>
  <c r="E83" i="3"/>
  <c r="E85" i="3"/>
  <c r="E84" i="3"/>
  <c r="D85" i="3"/>
  <c r="D84" i="3"/>
  <c r="E92" i="3"/>
  <c r="D92" i="3"/>
  <c r="E75" i="3"/>
  <c r="D75" i="3"/>
  <c r="E69" i="3"/>
  <c r="D69" i="3"/>
  <c r="E67" i="3"/>
  <c r="D67" i="3"/>
  <c r="D63" i="3" l="1"/>
  <c r="E62" i="3"/>
  <c r="D62" i="3"/>
  <c r="E44" i="3" l="1"/>
  <c r="E43" i="3"/>
  <c r="D42" i="3"/>
  <c r="C42" i="3"/>
  <c r="D43" i="3" s="1"/>
  <c r="E42" i="3"/>
  <c r="D44" i="3"/>
  <c r="D50" i="3"/>
  <c r="D47" i="3"/>
  <c r="D39" i="3"/>
  <c r="E46" i="3"/>
  <c r="E38" i="3"/>
  <c r="E61" i="3"/>
  <c r="E51" i="3"/>
  <c r="E53" i="3"/>
  <c r="E54" i="3"/>
  <c r="E40" i="3"/>
  <c r="E45" i="3"/>
  <c r="J17" i="8"/>
  <c r="I17" i="8"/>
  <c r="G17" i="8"/>
  <c r="H17" i="8"/>
  <c r="F17" i="8"/>
  <c r="D18" i="8"/>
  <c r="E18" i="8"/>
  <c r="D17" i="8"/>
  <c r="E17" i="8"/>
  <c r="E16" i="8"/>
  <c r="F16" i="8"/>
  <c r="G16" i="8"/>
  <c r="H16" i="8"/>
  <c r="I16" i="8"/>
  <c r="J16" i="8"/>
  <c r="D16" i="8"/>
  <c r="J15" i="8"/>
  <c r="J12" i="8"/>
  <c r="I15" i="8"/>
  <c r="I12" i="8"/>
  <c r="D15" i="8"/>
  <c r="E15" i="8"/>
  <c r="F15" i="8"/>
  <c r="G15" i="8"/>
  <c r="H15" i="8"/>
  <c r="D14" i="8"/>
  <c r="E14" i="8"/>
  <c r="F14" i="8"/>
  <c r="G14" i="8"/>
  <c r="H14" i="8"/>
  <c r="I14" i="8"/>
  <c r="J14" i="8"/>
  <c r="F12" i="8"/>
  <c r="G12" i="8"/>
  <c r="H12" i="8"/>
  <c r="D12" i="8"/>
  <c r="E12" i="8"/>
  <c r="D13" i="8"/>
  <c r="E13" i="8"/>
  <c r="F13" i="8"/>
  <c r="G13" i="8"/>
  <c r="H13" i="8"/>
  <c r="I13" i="8"/>
  <c r="J13" i="8"/>
  <c r="D11" i="8"/>
  <c r="E11" i="8"/>
  <c r="F11" i="8"/>
  <c r="G11" i="8"/>
  <c r="H11" i="8"/>
  <c r="I11" i="8"/>
  <c r="J11" i="8"/>
  <c r="D10" i="8"/>
  <c r="E10" i="8"/>
  <c r="F10" i="8"/>
  <c r="G10" i="8"/>
  <c r="H10" i="8"/>
  <c r="I10" i="8"/>
  <c r="J10" i="8"/>
  <c r="I9" i="8"/>
  <c r="J9" i="8"/>
  <c r="D9" i="8"/>
  <c r="E9" i="8"/>
  <c r="F9" i="8"/>
  <c r="G9" i="8"/>
  <c r="H9" i="8"/>
  <c r="D7" i="8"/>
  <c r="E7" i="8"/>
  <c r="F7" i="8"/>
  <c r="G7" i="8"/>
  <c r="H7" i="8"/>
  <c r="I7" i="8"/>
  <c r="J7" i="8"/>
  <c r="D19" i="8"/>
  <c r="E19" i="8"/>
  <c r="F19" i="8"/>
  <c r="G19" i="8"/>
  <c r="H19" i="8"/>
  <c r="I19" i="8"/>
  <c r="J19" i="8"/>
  <c r="D19" i="7"/>
  <c r="E19" i="7"/>
  <c r="F19" i="7"/>
  <c r="G19" i="7"/>
  <c r="H19" i="7"/>
  <c r="I19" i="7"/>
  <c r="J19" i="7"/>
  <c r="G10" i="7"/>
  <c r="F10" i="7"/>
  <c r="E10" i="7"/>
  <c r="D10" i="7"/>
  <c r="D11" i="7"/>
  <c r="E11" i="7"/>
  <c r="F11" i="7"/>
  <c r="G11" i="7"/>
  <c r="H11" i="7"/>
  <c r="I11" i="7"/>
  <c r="J11" i="7"/>
  <c r="H10" i="7"/>
  <c r="I10" i="7"/>
  <c r="J10" i="7"/>
  <c r="C16" i="7"/>
  <c r="D16" i="7"/>
  <c r="E16" i="7"/>
  <c r="F16" i="7"/>
  <c r="G16" i="7"/>
  <c r="H16" i="7"/>
  <c r="I16" i="7"/>
  <c r="J16" i="7"/>
  <c r="C39" i="5"/>
  <c r="C26" i="5"/>
  <c r="C9" i="7"/>
  <c r="D9" i="7"/>
  <c r="E9" i="7"/>
  <c r="F9" i="7"/>
  <c r="G9" i="7"/>
  <c r="H9" i="7"/>
  <c r="I9" i="7"/>
  <c r="J9" i="7"/>
  <c r="H7" i="7"/>
  <c r="I7" i="7"/>
  <c r="J7" i="7"/>
  <c r="D7" i="7"/>
  <c r="E7" i="7"/>
  <c r="F7" i="7"/>
  <c r="G7" i="7"/>
  <c r="E21" i="6"/>
  <c r="E19" i="6"/>
  <c r="E18" i="6"/>
  <c r="E11" i="6"/>
  <c r="E10" i="6"/>
  <c r="E32" i="5"/>
  <c r="E31" i="5"/>
  <c r="E24" i="5"/>
  <c r="E23" i="5" l="1"/>
  <c r="D24" i="3"/>
  <c r="E10" i="3"/>
  <c r="E9" i="3"/>
  <c r="E8" i="3"/>
  <c r="E13" i="3"/>
  <c r="E14" i="3" s="1"/>
  <c r="E12" i="3"/>
  <c r="E23" i="3"/>
  <c r="E24" i="3" s="1"/>
  <c r="E21" i="3"/>
  <c r="E11" i="3"/>
  <c r="E6" i="3"/>
  <c r="I22" i="2"/>
  <c r="J22" i="2"/>
  <c r="D22" i="2"/>
  <c r="E22" i="2"/>
  <c r="F22" i="2"/>
  <c r="G22" i="2"/>
  <c r="H22" i="2"/>
  <c r="J21" i="2"/>
  <c r="D21" i="2"/>
  <c r="E21" i="2"/>
  <c r="F21" i="2"/>
  <c r="G21" i="2"/>
  <c r="H21" i="2"/>
  <c r="I21" i="2"/>
  <c r="J20" i="2"/>
  <c r="I20" i="2"/>
  <c r="H20" i="2"/>
  <c r="G20" i="2"/>
  <c r="F20" i="2"/>
  <c r="E20" i="2"/>
  <c r="D20" i="2"/>
  <c r="J19" i="2"/>
  <c r="I19" i="2"/>
  <c r="D19" i="2"/>
  <c r="E19" i="2"/>
  <c r="F19" i="2"/>
  <c r="G19" i="2"/>
  <c r="H19" i="2"/>
  <c r="E18" i="2"/>
  <c r="F18" i="2"/>
  <c r="G18" i="2"/>
  <c r="H18" i="2"/>
  <c r="I18" i="2"/>
  <c r="J18" i="2"/>
  <c r="D18" i="2"/>
  <c r="E16" i="2"/>
  <c r="D16" i="2"/>
  <c r="D5" i="2"/>
  <c r="E5" i="2"/>
  <c r="F5" i="2"/>
  <c r="G5" i="2"/>
  <c r="H5" i="2"/>
  <c r="I5" i="2"/>
  <c r="J5" i="2"/>
  <c r="E37" i="3"/>
  <c r="D61" i="3"/>
  <c r="D59" i="3"/>
  <c r="E60" i="3" s="1"/>
  <c r="D23" i="3"/>
  <c r="D17" i="3"/>
  <c r="D21" i="3"/>
  <c r="D16" i="3"/>
  <c r="D14" i="3"/>
  <c r="D13" i="3"/>
  <c r="D12" i="3"/>
  <c r="D11" i="3"/>
  <c r="D6" i="3"/>
  <c r="E39" i="3" l="1"/>
  <c r="E47" i="3"/>
  <c r="D11" i="6" l="1"/>
  <c r="D24" i="5"/>
  <c r="E20" i="6"/>
  <c r="D21" i="6"/>
  <c r="D18" i="6"/>
  <c r="D20" i="6"/>
  <c r="D19" i="6"/>
  <c r="E34" i="5"/>
  <c r="E33" i="5"/>
  <c r="D23" i="5"/>
  <c r="D31" i="5"/>
  <c r="D32" i="5"/>
  <c r="D33" i="5"/>
  <c r="D10" i="6"/>
  <c r="B67" i="10" l="1"/>
  <c r="B6" i="8" l="1"/>
  <c r="J6" i="8"/>
  <c r="B6" i="7"/>
  <c r="J6" i="7"/>
  <c r="B4" i="2"/>
  <c r="J4" i="2"/>
  <c r="D2" i="11"/>
  <c r="F4" i="1" s="1"/>
  <c r="F4" i="2" s="1"/>
  <c r="I4" i="1" l="1"/>
  <c r="I4" i="2" s="1"/>
  <c r="H4" i="1"/>
  <c r="H6" i="7" s="1"/>
  <c r="C4" i="1"/>
  <c r="C6" i="8" s="1"/>
  <c r="D4" i="1"/>
  <c r="D6" i="7" s="1"/>
  <c r="G4" i="1"/>
  <c r="G6" i="7" s="1"/>
  <c r="E4" i="1"/>
  <c r="E6" i="7" s="1"/>
  <c r="F6" i="8"/>
  <c r="F6" i="7"/>
  <c r="I6" i="7" l="1"/>
  <c r="I6" i="8"/>
  <c r="H4" i="2"/>
  <c r="H6" i="8"/>
  <c r="D4" i="2"/>
  <c r="E6" i="8"/>
  <c r="E4" i="2"/>
  <c r="G4" i="2"/>
  <c r="C4" i="2"/>
  <c r="C6" i="7"/>
  <c r="G6" i="8"/>
  <c r="D6" i="8"/>
</calcChain>
</file>

<file path=xl/sharedStrings.xml><?xml version="1.0" encoding="utf-8"?>
<sst xmlns="http://schemas.openxmlformats.org/spreadsheetml/2006/main" count="799" uniqueCount="404">
  <si>
    <t>UG H/EU</t>
  </si>
  <si>
    <t>RCUK Fee</t>
  </si>
  <si>
    <t>Release Year</t>
  </si>
  <si>
    <t>Fee Year</t>
  </si>
  <si>
    <t>RPI Multiplier</t>
  </si>
  <si>
    <t>Standard</t>
  </si>
  <si>
    <t>2016-2017</t>
  </si>
  <si>
    <t>Standard Reduced Rate (Industry)</t>
  </si>
  <si>
    <t>Standard Reduced Rate (Erasmus/Abroad)</t>
  </si>
  <si>
    <t>Old Rules</t>
  </si>
  <si>
    <t>Old Rules Reduced Rate</t>
  </si>
  <si>
    <t>Older Rules</t>
  </si>
  <si>
    <t>Older Rules Reduced Rate</t>
  </si>
  <si>
    <t>All Previous Cohorts</t>
  </si>
  <si>
    <t>Faculty of Engineering</t>
  </si>
  <si>
    <t>Aeronautics</t>
  </si>
  <si>
    <t>Bioengineering</t>
  </si>
  <si>
    <t>Chemical Engineering</t>
  </si>
  <si>
    <t>Civil and Environmental Engineering</t>
  </si>
  <si>
    <t>Computing</t>
  </si>
  <si>
    <t>Joint Mathematics and Computing</t>
  </si>
  <si>
    <t>Design Engineering</t>
  </si>
  <si>
    <t>Earth Science and Engineering</t>
  </si>
  <si>
    <t>Electrical and Electronic Engineering</t>
  </si>
  <si>
    <t>Materials</t>
  </si>
  <si>
    <t>Mechanical Engineering</t>
  </si>
  <si>
    <t>Faculty of Natural Sciences</t>
  </si>
  <si>
    <t>Chemistry</t>
  </si>
  <si>
    <t>Life Sciences</t>
  </si>
  <si>
    <t>Mathematics</t>
  </si>
  <si>
    <t>Physics</t>
  </si>
  <si>
    <t>†</t>
  </si>
  <si>
    <t>††</t>
  </si>
  <si>
    <t>Medicine</t>
  </si>
  <si>
    <r>
      <t>Medicine</t>
    </r>
    <r>
      <rPr>
        <vertAlign val="superscript"/>
        <sz val="11"/>
        <color theme="1"/>
        <rFont val="Calibri"/>
        <family val="2"/>
        <scheme val="minor"/>
      </rPr>
      <t>†</t>
    </r>
  </si>
  <si>
    <t xml:space="preserve">The fees for Home/EU Students are controlled by the UK Government according to the funding model under 
which the student started their course of study and may increase annually by an amount linked to inflation.  </t>
  </si>
  <si>
    <r>
      <t>Medicine (Years 1 - 3)</t>
    </r>
    <r>
      <rPr>
        <vertAlign val="superscript"/>
        <sz val="11"/>
        <color theme="1"/>
        <rFont val="Calibri"/>
        <family val="2"/>
        <scheme val="minor"/>
      </rPr>
      <t>†</t>
    </r>
  </si>
  <si>
    <r>
      <t>Medicine (Years 4 - 6)</t>
    </r>
    <r>
      <rPr>
        <vertAlign val="superscript"/>
        <sz val="11"/>
        <color theme="1"/>
        <rFont val="Calibri"/>
        <family val="2"/>
        <scheme val="minor"/>
      </rPr>
      <t>†</t>
    </r>
  </si>
  <si>
    <t xml:space="preserve">Oxbridge entrants and students undertaking an intercalated BSc will be charged based on their year of entry to their original institution. Students on the accelerated Graduate-Entry Medicine programme (A101) who commenced their studies with the 2013 cohort or earlier will be charged at the higher (years 4 - 6) rate for years two to four of the programme.  </t>
  </si>
  <si>
    <t>Engineering</t>
  </si>
  <si>
    <t>Natural Sciences</t>
  </si>
  <si>
    <t>Biomedical Sciences</t>
  </si>
  <si>
    <t>Subject</t>
  </si>
  <si>
    <t>Environmental Policy</t>
  </si>
  <si>
    <t>Business</t>
  </si>
  <si>
    <t>Science Communication</t>
  </si>
  <si>
    <t>Co-Curricular Studies</t>
  </si>
  <si>
    <t>All Research in the Crick Institute</t>
  </si>
  <si>
    <t>Petroleum-Related Research</t>
  </si>
  <si>
    <r>
      <t>Clean Fossil Fuels</t>
    </r>
    <r>
      <rPr>
        <vertAlign val="superscript"/>
        <sz val="11"/>
        <color theme="1"/>
        <rFont val="Calibri"/>
        <family val="2"/>
        <scheme val="minor"/>
      </rPr>
      <t>†</t>
    </r>
  </si>
  <si>
    <t>Non-Faculty</t>
  </si>
  <si>
    <t>Oxbridge entrants and students undertaking an intercalated BSc will be charged based on their year of entry to their original institution.</t>
  </si>
  <si>
    <t>Students undertaking research on a part-time basis will be charged half the full-time fee.</t>
  </si>
  <si>
    <t>DSc registration fee</t>
  </si>
  <si>
    <t>Re-Entry Fee</t>
  </si>
  <si>
    <t>Special Qualifying Examination</t>
  </si>
  <si>
    <t>Re-Entry Fees</t>
  </si>
  <si>
    <t>MRes/MPH/MSc/MBA/DIC</t>
  </si>
  <si>
    <t>MPhil/PhD/DIC</t>
  </si>
  <si>
    <t>Re-submission fee</t>
  </si>
  <si>
    <t>Students from the Channel Islands and the Isle of Man</t>
  </si>
  <si>
    <t xml:space="preserve">All students assessed as 'Islands' students - i.e. from the Channel Islands and the Isle of Man - are charged at the Overseas/Islands rate of fee.  </t>
  </si>
  <si>
    <t>Undergraduate Students Following Courses Which Include a Period Abroad or in Industry</t>
  </si>
  <si>
    <t xml:space="preserve">Home/EU students will pay the appropriate reduced rate fee when: </t>
  </si>
  <si>
    <t xml:space="preserve">They are on a year in industry/research (and thus not attending the College for more than 10 weeks during the session).  </t>
  </si>
  <si>
    <t xml:space="preserve">They are attending the whole year abroad at an overseas university/college or research institute as part of their UK course, namely the year abroad generic degrees.  </t>
  </si>
  <si>
    <t xml:space="preserve">Overseas/Islands students will pay the appropriate reduced rate fee when: </t>
  </si>
  <si>
    <t xml:space="preserve">They are attending the whole year abroad at an overseas university/college or research institute as part of their UK course, namely the year abroad generic degrees, and that year is an additional year.  Where the year is a replacement year, full fees are payable. </t>
  </si>
  <si>
    <t xml:space="preserve">Students attending industrial placements or study/project periods abroad that do not fulfil the above criteria will be charged the relevant sessional fee in full.  </t>
  </si>
  <si>
    <t>Reduced Rate Fees</t>
  </si>
  <si>
    <t xml:space="preserve">The reduced rate for Overseas/Islands students on a year abroad that is an additional year is 15% of the relevant full Overseas/Islands fee. The reduced rate for Overseas/Islands students on a placement year of a course with a year in industry/research is 10% of the relevant full Overseas/Islands fee.  </t>
  </si>
  <si>
    <t xml:space="preserve">The reduced rate for Overseas/Islands students on a year abroad that is an additional year is 15% of the relevant full Overseas/Islands fee. The reduced rate for Overseas/Islands students on a placement year of a course with a year in industry/research is 20% of the relevant full Overseas/Islands fee.  </t>
  </si>
  <si>
    <t>PGR Students Commencing Study Outside the First Week of the Academic Year</t>
  </si>
  <si>
    <t>Students on Study Leave</t>
  </si>
  <si>
    <t>Postgraduate students away from College on approved study leave may be charged at a lower rate for the period away provided that:</t>
  </si>
  <si>
    <t xml:space="preserve">The absence for three months or greater.  </t>
  </si>
  <si>
    <t xml:space="preserve">The absence is outside the UK.  </t>
  </si>
  <si>
    <t xml:space="preserve">The lower fee is requested by the department/division.  </t>
  </si>
  <si>
    <t xml:space="preserve">Approval is granted by the relevant Dean.  </t>
  </si>
  <si>
    <t xml:space="preserve">The lower rate of fee is the relevant part-time fee.  </t>
  </si>
  <si>
    <t>Writing-Up Students</t>
  </si>
  <si>
    <t xml:space="preserve">Research students who enter their completion of research period at the College for a period of no longer than twelve months are charged a fee of £200.00.  
Research students who write-up their thesis not in attendance at the College are not charged fees for the writing-up period.  </t>
  </si>
  <si>
    <t>Occasional Students</t>
  </si>
  <si>
    <r>
      <t>Fee Remission Policy for Staff and their Children</t>
    </r>
    <r>
      <rPr>
        <b/>
        <vertAlign val="superscript"/>
        <sz val="11"/>
        <color theme="1"/>
        <rFont val="Calibri"/>
        <family val="2"/>
        <scheme val="minor"/>
      </rPr>
      <t>†</t>
    </r>
  </si>
  <si>
    <t>Staff Members</t>
  </si>
  <si>
    <t>Children of Staff Members</t>
  </si>
  <si>
    <t xml:space="preserve">Those students on sabbatical leave in order to act as officers of ICU will not be required to pay tuition fees for the period of the leave.  </t>
  </si>
  <si>
    <t>Withdrawal &amp; Refund Policy</t>
  </si>
  <si>
    <t>Undergraduates</t>
  </si>
  <si>
    <r>
      <t xml:space="preserve">Where a student's fee (or part of a student's fee) is being paid by a sponsor, the sponsor will be charged a </t>
    </r>
    <r>
      <rPr>
        <i/>
        <sz val="11"/>
        <color theme="1"/>
        <rFont val="Calibri"/>
        <family val="2"/>
        <scheme val="minor"/>
      </rPr>
      <t>pro-rata</t>
    </r>
    <r>
      <rPr>
        <sz val="11"/>
        <color theme="1"/>
        <rFont val="Calibri"/>
        <family val="2"/>
        <scheme val="minor"/>
      </rPr>
      <t xml:space="preserve"> fee/refunded on the same basis as above.  </t>
    </r>
  </si>
  <si>
    <t>Postgraduates</t>
  </si>
  <si>
    <t>Payment of Fees by Instalments</t>
  </si>
  <si>
    <t xml:space="preserve">Home/EU undergraduate students who are eligible to be assessed for UK public funding in respect of tuition fees may pay fees in two instalments provided that their personally assessed contribution for the session exceeds £350.  There is no charge for this facility.  </t>
  </si>
  <si>
    <t>Surcharge for Late Payment of Fees</t>
  </si>
  <si>
    <r>
      <t>PGR students who commence their studies other than during the first week of the Academic Year will be charged a fee</t>
    </r>
    <r>
      <rPr>
        <i/>
        <sz val="11"/>
        <color theme="1"/>
        <rFont val="Calibri"/>
        <family val="2"/>
        <scheme val="minor"/>
      </rPr>
      <t xml:space="preserve"> pro-rata</t>
    </r>
    <r>
      <rPr>
        <sz val="11"/>
        <color theme="1"/>
        <rFont val="Calibri"/>
        <family val="2"/>
        <scheme val="minor"/>
      </rPr>
      <t xml:space="preserve"> the number of weeks of attendance or any part thereof.  Students who commence their studies on or after 1 September will be considered to be joining the new Cohort for that Academic Year and will be charged accordingly.  </t>
    </r>
  </si>
  <si>
    <r>
      <t xml:space="preserve">Occasional students pursuing a full year of study outside of the framework of an Erasmus  or other student exchange agreement will be subject to a maximum fee of the relevant sessional fee for the subject and level of study; this fee may be reduced or waived by the admitting department.  Such students whose registration period is less than a full calendar year will be charged the appropriate </t>
    </r>
    <r>
      <rPr>
        <i/>
        <sz val="11"/>
        <color theme="1"/>
        <rFont val="Calibri"/>
        <family val="2"/>
        <scheme val="minor"/>
      </rPr>
      <t>pro-rata</t>
    </r>
    <r>
      <rPr>
        <sz val="11"/>
        <color theme="1"/>
        <rFont val="Calibri"/>
        <family val="2"/>
        <scheme val="minor"/>
      </rPr>
      <t xml:space="preserve"> fee based on the number of weeks between the start and end dates of the study period regardless of vacations.  </t>
    </r>
  </si>
  <si>
    <t xml:space="preserve">All visiting (occasional) students who are registered as Erasmus students (Attendance Mode ER) or other occasional students attending Imperial as part of a recognized bi-lateral exchange agreement (Attendance Mode EX) will not be charged fees.  This applies for a period of up to twelve months.  </t>
  </si>
  <si>
    <t xml:space="preserve">The fee remission scheme is available to all full- and part-time staff who have a contract of employment with the College (including employees of wholly-owned subsidiaries of the College); the scheme is not available to staff holding an honorary contract with the College or employees of the Imperial College Healthcare NHS Trust. The scheme is only available for the duration of the employment with the College and applies to postgraduate degrees only; employees seeking to register for an undergraduate degree with the College cannot apply for fee remission.  </t>
  </si>
  <si>
    <t>To qualify for fee remission, staff must have been employed by the College for at least one year prior to the start of the programme and their contract must end on or after the date on which their degree programme is expected to finish.  If staff begin a programme of study before they have completed one year of employment with the College, they will not be eligible for the tuition fee remission scheme for any part of that programme.</t>
  </si>
  <si>
    <t xml:space="preserve">If staff resign from their employment at College after one year but within two years of completing a course where they have been given fee remission, they will be required to repay 50% of the fee remission awarded.  </t>
  </si>
  <si>
    <t xml:space="preserve">Full-time Research Assistants (RAs) and Clinical Research Fellows (CRFs) registering for an MD(Res), PhD or integrated four-year MRes/PhD relevant to their research employment at the College will not be required to meet the qualifying period of service before becoming eligible for fee remission.  They will also not have to repay any fee remission if they leave the College within two years of completing their programme due to their contract coming to an end.  RAs and CRFs that are externally funded are not eligible for fee remission.  Part-time RAs and CRFs and any RAs or CRFs applying for programmes other than those listed in this paragraph (including stand-alone MRes programmes) will be treated as any other staff.  </t>
  </si>
  <si>
    <r>
      <t xml:space="preserve">Eligible full-time employees will receive a discount of two-thirds the Home/EU fee for the relevant programme regardless of their fee classification. The remaining balance of the fee will be paid by the employee, their department or other sponsor.  Eligible part-time employees will receive a discount of two-thirds the Home/EU fee for the relevant programme </t>
    </r>
    <r>
      <rPr>
        <i/>
        <sz val="11"/>
        <color theme="1"/>
        <rFont val="Calibri"/>
        <family val="2"/>
        <scheme val="minor"/>
      </rPr>
      <t>pro-rata</t>
    </r>
    <r>
      <rPr>
        <sz val="11"/>
        <color theme="1"/>
        <rFont val="Calibri"/>
        <family val="2"/>
        <scheme val="minor"/>
      </rPr>
      <t xml:space="preserve"> the full-time equivalence of their contract regardless of fee classification.  The remaining balance of the fee will be paid by the employee, their department or other sponsor.  Full-time RAs and CRFs will be eligible to pay a fee of one-third of the Home/EU fee for the relevant research programme regardless of their fee classification. </t>
    </r>
  </si>
  <si>
    <t xml:space="preserve">The fee remission scheme is also available to children of all full- and part-time staff who have a contract of employment with the College (including employees of wholly-owned subsidiaries of the College); the scheme is not available to children of staff holding an honorary contract with the College or children of employees of the Imperial College Healthcare NHS Trust. The scheme is only available for the duration of the parent's employment with the College and applies to undergraduate degrees only; no fee remission is available to children of staff studying at postgraduate level.  </t>
  </si>
  <si>
    <t>To qualify for fee remission, the qualifying staff member must have been employed by the College for at least one year prior to the start of the programme.  If the programme of study commences before the qualifying staff member has completed one year of employment with the College, the student will not be eligible for the tuition fee remission scheme for any part of that programme.</t>
  </si>
  <si>
    <t xml:space="preserve">Where relevant, children of staff members will receive the greater of College financial aid (based on Residual Household Income as assessed by the Student Loans Company) or College fee remission but not both awards.  </t>
  </si>
  <si>
    <t xml:space="preserve">Please note: the fee remission scheme for children of staff will be withdrawn at the end of the 2016-17 academic year, all students (including holders of offers for deferred entry) that currently qualify for fee remission will remain under the policy in force at the time of their offer but children of staff applying to the 2017-18 session onwards will not be eligible to receive fee remission.  </t>
  </si>
  <si>
    <t>Fee Remission for ICU Sabatical Officers</t>
  </si>
  <si>
    <t xml:space="preserve">Applicable for 2016 Cohorts or later, all earlier Cohorts remain subject to the policy in force at the time of entrance to the College.  Full detais of the current fee remission policies may be found on the Fees and Funding web pages, details of any previous schemes still in force may be obtained from Student Finance.  </t>
  </si>
  <si>
    <r>
      <t xml:space="preserve">Undergraduate students withdrawing from their course during the academic session will be charged a </t>
    </r>
    <r>
      <rPr>
        <i/>
        <sz val="11"/>
        <color theme="1"/>
        <rFont val="Calibri"/>
        <family val="2"/>
        <scheme val="minor"/>
      </rPr>
      <t>pro-rata</t>
    </r>
    <r>
      <rPr>
        <sz val="11"/>
        <color theme="1"/>
        <rFont val="Calibri"/>
        <family val="2"/>
        <scheme val="minor"/>
      </rPr>
      <t xml:space="preserve"> fee based on the relevant full year fee (or their contribution to the full year fee) and the number of weeks or any part thereof studied during an academic session of 31 weeks subject to any liability caps in force.  A refund will be made to the student of any balance of fees paid in excess of the reduced fee.  Where the student is registered on a programme with session lengths of greater than 31 weeks, any refund will be calculated</t>
    </r>
    <r>
      <rPr>
        <i/>
        <sz val="11"/>
        <color theme="1"/>
        <rFont val="Calibri"/>
        <family val="2"/>
        <scheme val="minor"/>
      </rPr>
      <t xml:space="preserve"> pro-rata</t>
    </r>
    <r>
      <rPr>
        <sz val="11"/>
        <color theme="1"/>
        <rFont val="Calibri"/>
        <family val="2"/>
        <scheme val="minor"/>
      </rPr>
      <t xml:space="preserve"> the number of weeks or any part thereof studied relative to the length of the session from which the student has withdrawn and subject to any liability caps in force.  Where the student withdraws within the first month of the first year of their course, no charge will be made for tuition fees.  </t>
    </r>
  </si>
  <si>
    <r>
      <t xml:space="preserve">Postgraduate students withdrawing from their course during the academic session will be charged a </t>
    </r>
    <r>
      <rPr>
        <i/>
        <sz val="11"/>
        <color theme="1"/>
        <rFont val="Calibri"/>
        <family val="2"/>
        <scheme val="minor"/>
      </rPr>
      <t xml:space="preserve">pro-rata </t>
    </r>
    <r>
      <rPr>
        <sz val="11"/>
        <color theme="1"/>
        <rFont val="Calibri"/>
        <family val="2"/>
        <scheme val="minor"/>
      </rPr>
      <t xml:space="preserve">fee based on the relevant full year fee (or their contribution to the full year fee) and the number of weeks or any part thereof studied during an academic session of 52 weeks.  A refund will be made to the student of any balance of fees paid in excess of the reduced fee.  Where a fee includes an application deposit, the deposit will be non-refundable in the event of withdrawal unless under exceptional or extreme mitigating circumstances; where the non-refundable deposit charge is greater than the </t>
    </r>
    <r>
      <rPr>
        <i/>
        <sz val="11"/>
        <color theme="1"/>
        <rFont val="Calibri"/>
        <family val="2"/>
        <scheme val="minor"/>
      </rPr>
      <t xml:space="preserve">pro rata </t>
    </r>
    <r>
      <rPr>
        <sz val="11"/>
        <color theme="1"/>
        <rFont val="Calibri"/>
        <family val="2"/>
        <scheme val="minor"/>
      </rPr>
      <t xml:space="preserve">fee, the sum refunded will be the course fee less the value of the non-refundable deposit.  Where the student withdraws within the first month of the first year of their course, no charge shall be made for tuition fees except where the fee includes an application deposit which shall be non-refundable unless under exceptional or extreme mitigating circumstances. </t>
    </r>
  </si>
  <si>
    <t xml:space="preserve">Where a student interrupts or resumes their studies during the academic session, their fee liability will be assessed as above.  </t>
  </si>
  <si>
    <t xml:space="preserve">Self-supported students other than Home/EU undergraduate students as above whose sessional fee exceeds £2,000 may pay fees in two instalments.  No interest is payable on the amount of credit extended through payment of fees by instalments but credit is subject to a facility fee of 2% of the total fee payable (representative 10.4% APR) with this fee payable with the first instalment of 50%. The option to pay by instalments is not available to applicants or students under the age of 18.  Applicants that are over the age of 18 will be able to apply to pay by instalments by emailing the Tuition Fees team. </t>
  </si>
  <si>
    <t>Representative Example
Tuition fees of £26,000, deposit payment of £2,600, cash price £23,400, facility charge £468, total amount of credit £23,868 payable in two instalments of £12,168 by 1 October 2016 and £11,700 by 1 March 2017, total payable £23,868 representative 10.4% APR.</t>
  </si>
  <si>
    <t xml:space="preserve">Any tuition fees not paid by the due date shall attract late payment charges at an annualised rate of 7.5% above the base rate of the National Westminster Bank Plc.  Late payment charges shall accrue daily on all overdue tuition fee balances until such time as those balances are paid in full or subject to a payment plan agreed with Credit Control.  If all outstanding amounts are paid in full within six months of the due date, the late payment charges shall be discounted to an annualised rate of 2% above the base rate of the National Westminster Bank Plc.  </t>
  </si>
  <si>
    <t xml:space="preserve">Students paying their fees by instalments under a Regulated Credit Agreement should check their credit agreement for details of late payment penalties.  </t>
  </si>
  <si>
    <t>Full Time</t>
  </si>
  <si>
    <t>2016 Cohort</t>
  </si>
  <si>
    <t>2015 Cohort</t>
  </si>
  <si>
    <t>Part-Time (per session)</t>
  </si>
  <si>
    <t>N/A</t>
  </si>
  <si>
    <t>Experimental Neuroscience</t>
  </si>
  <si>
    <t>All Other Engineering Subjects</t>
  </si>
  <si>
    <t>All Other Medicine Subjects</t>
  </si>
  <si>
    <t>Anaesthetics, Pain Medicine and Intensive Care</t>
  </si>
  <si>
    <t>Bacterial Pathogenesis and Infection</t>
  </si>
  <si>
    <t>Biomedical Research</t>
  </si>
  <si>
    <t>Data Science</t>
  </si>
  <si>
    <t>Epidemiology, Evolution and Control of Infectious Diseases</t>
  </si>
  <si>
    <t>Microbiome in Health and Disease</t>
  </si>
  <si>
    <t>Molecular Basis of Human Disease</t>
  </si>
  <si>
    <t>Personalised Healthcare</t>
  </si>
  <si>
    <t>Respiratory and Cardiovascular Science</t>
  </si>
  <si>
    <t>Cardiovascular Science, Technology and Medicine</t>
  </si>
  <si>
    <t>Biomedicine and Bioengineering in Osteoarthritis</t>
  </si>
  <si>
    <t>Inflammation Science</t>
  </si>
  <si>
    <t>Chemical Biology</t>
  </si>
  <si>
    <t>Molecular and Cellular Basis of Infection</t>
  </si>
  <si>
    <t>Molecular and Cellular Biosciences</t>
  </si>
  <si>
    <t>Molecular Plant and Microbial Sciences</t>
  </si>
  <si>
    <t>Structural Molecular Biology</t>
  </si>
  <si>
    <t>Tropical Forest Ecology</t>
  </si>
  <si>
    <t>All Other Life Sciences Subjects</t>
  </si>
  <si>
    <t>Systems and Synthetic Biology</t>
  </si>
  <si>
    <t>Mathematics of Planet Earth</t>
  </si>
  <si>
    <t>All Other Mathematics Subjects</t>
  </si>
  <si>
    <t>Stochastic Analysis</t>
  </si>
  <si>
    <t>Photonics</t>
  </si>
  <si>
    <t>Controlled Quantum Dynamics</t>
  </si>
  <si>
    <t>Plastic Electronic Materials</t>
  </si>
  <si>
    <r>
      <t>All Other Life Sciences Subjects (Three-Year Part-Time)</t>
    </r>
    <r>
      <rPr>
        <vertAlign val="superscript"/>
        <sz val="11"/>
        <color theme="1"/>
        <rFont val="Calibri"/>
        <family val="2"/>
        <scheme val="minor"/>
      </rPr>
      <t>†</t>
    </r>
  </si>
  <si>
    <t>Interruption of Studies</t>
  </si>
  <si>
    <t>Systems Engineering and Innovation</t>
  </si>
  <si>
    <t>All Other Chemical Engineering Subjects</t>
  </si>
  <si>
    <t>All Other Civil Engineering Subjects</t>
  </si>
  <si>
    <t>Computing for Industry</t>
  </si>
  <si>
    <t>All Other Computing Subjects</t>
  </si>
  <si>
    <t>Metals and Energy Finance</t>
  </si>
  <si>
    <t>All Other Earth Science and Engineering Subjects</t>
  </si>
  <si>
    <t>Sustainable Energy Futures</t>
  </si>
  <si>
    <t>RCA Fee</t>
  </si>
  <si>
    <r>
      <t>Process Automation, Instrumentation and Control (PGCert Module)</t>
    </r>
    <r>
      <rPr>
        <vertAlign val="superscript"/>
        <sz val="11"/>
        <color theme="1"/>
        <rFont val="Calibri"/>
        <family val="2"/>
        <scheme val="minor"/>
      </rPr>
      <t>†</t>
    </r>
  </si>
  <si>
    <r>
      <t>Process Automation, Instrumentation and Control (PGDip Module)</t>
    </r>
    <r>
      <rPr>
        <vertAlign val="superscript"/>
        <sz val="11"/>
        <color theme="1"/>
        <rFont val="Calibri"/>
        <family val="2"/>
        <scheme val="minor"/>
      </rPr>
      <t>†</t>
    </r>
  </si>
  <si>
    <r>
      <t>All Other Civil Engineering Subjects (Three-Year Part-Time)</t>
    </r>
    <r>
      <rPr>
        <vertAlign val="superscript"/>
        <sz val="11"/>
        <color theme="1"/>
        <rFont val="Calibri"/>
        <family val="2"/>
        <scheme val="minor"/>
      </rPr>
      <t>††</t>
    </r>
  </si>
  <si>
    <r>
      <t>Computing for Industry (Part-Time by Module)</t>
    </r>
    <r>
      <rPr>
        <vertAlign val="superscript"/>
        <sz val="11"/>
        <color theme="1"/>
        <rFont val="Calibri"/>
        <family val="2"/>
        <scheme val="minor"/>
      </rPr>
      <t>†††</t>
    </r>
  </si>
  <si>
    <r>
      <t>Mechanical Engineering (Three-Year Part-Time)</t>
    </r>
    <r>
      <rPr>
        <vertAlign val="superscript"/>
        <sz val="11"/>
        <color theme="1"/>
        <rFont val="Calibri"/>
        <family val="2"/>
      </rPr>
      <t>§</t>
    </r>
  </si>
  <si>
    <r>
      <t>Global Innovation Design</t>
    </r>
    <r>
      <rPr>
        <vertAlign val="superscript"/>
        <sz val="11"/>
        <color theme="1"/>
        <rFont val="Calibri"/>
        <family val="2"/>
      </rPr>
      <t>§§</t>
    </r>
  </si>
  <si>
    <r>
      <t>Innovation Design Engineering</t>
    </r>
    <r>
      <rPr>
        <vertAlign val="superscript"/>
        <sz val="11"/>
        <color theme="1"/>
        <rFont val="Calibri"/>
        <family val="2"/>
        <scheme val="minor"/>
      </rPr>
      <t>§§</t>
    </r>
  </si>
  <si>
    <t>Computing for Industry (Part-Time Project)</t>
  </si>
  <si>
    <t>†††</t>
  </si>
  <si>
    <t>§</t>
  </si>
  <si>
    <t>§§</t>
  </si>
  <si>
    <t xml:space="preserve">Fees for these subjects are set and charged by the Royal College of Art.  All enquries should be made to the RCA directly.  </t>
  </si>
  <si>
    <t>2014 Cohort will be charged £3,100.00.</t>
  </si>
  <si>
    <t xml:space="preserve">2014 Cohort will be charged £3,100.00.  </t>
  </si>
  <si>
    <t xml:space="preserve">2014 Cohort will be charged £6,333.00.  </t>
  </si>
  <si>
    <t xml:space="preserve">Including research in the Qatar Carbonates and Carbon Storage Research Centre.  </t>
  </si>
  <si>
    <t xml:space="preserve">A total of eight modules plus the project are required to qualify for the MSc award.  </t>
  </si>
  <si>
    <t xml:space="preserve">2014 Cohort will be charged £3,450.00.  </t>
  </si>
  <si>
    <t xml:space="preserve">A total of four modules are required for the PGCert, and a further four modules for the PGDip; to qualify for the MSc award, students must complete all eight modules and the MSc project.  </t>
  </si>
  <si>
    <r>
      <t>Process Automation, Instrumentation and Control (MSc Project)</t>
    </r>
    <r>
      <rPr>
        <vertAlign val="superscript"/>
        <sz val="11"/>
        <color theme="1"/>
        <rFont val="Calibri"/>
        <family val="2"/>
        <scheme val="minor"/>
      </rPr>
      <t>†</t>
    </r>
  </si>
  <si>
    <t>Allergy (PGCert)</t>
  </si>
  <si>
    <t>Paediatrics and Child Health (PGCert)</t>
  </si>
  <si>
    <t>Reproductive and Developmental Biology (PGCert)</t>
  </si>
  <si>
    <r>
      <t>Allergy (MSc Project)</t>
    </r>
    <r>
      <rPr>
        <vertAlign val="superscript"/>
        <sz val="11"/>
        <color theme="1"/>
        <rFont val="Calibri"/>
        <family val="2"/>
        <scheme val="minor"/>
      </rPr>
      <t>†</t>
    </r>
  </si>
  <si>
    <r>
      <t>Paediatrics and Child Health (MSc Project)</t>
    </r>
    <r>
      <rPr>
        <vertAlign val="superscript"/>
        <sz val="11"/>
        <color theme="1"/>
        <rFont val="Calibri"/>
        <family val="2"/>
        <scheme val="minor"/>
      </rPr>
      <t>†</t>
    </r>
  </si>
  <si>
    <t>Surgical Innovation (PGCert)</t>
  </si>
  <si>
    <t>Patient Safety (PGCert)</t>
  </si>
  <si>
    <t>Surgical Education (PGDip)</t>
  </si>
  <si>
    <t>Healthcare and Design</t>
  </si>
  <si>
    <t>Health Policy</t>
  </si>
  <si>
    <t>Respiratory Nursing (PGCert)</t>
  </si>
  <si>
    <t>Cardiac Nursing (PGCert)</t>
  </si>
  <si>
    <t>Preventive Cardiology (PGCert)</t>
  </si>
  <si>
    <t>Genes, Drugs and Stem Cells - Novel Therapies (PGCert)</t>
  </si>
  <si>
    <t>Genomic Medicine (PGCert)</t>
  </si>
  <si>
    <t>Genomic Medicine (MSc)</t>
  </si>
  <si>
    <r>
      <t>Paediatrics and Child Health (PGDip)</t>
    </r>
    <r>
      <rPr>
        <vertAlign val="superscript"/>
        <sz val="11"/>
        <color theme="1"/>
        <rFont val="Calibri"/>
        <family val="2"/>
        <scheme val="minor"/>
      </rPr>
      <t>†</t>
    </r>
  </si>
  <si>
    <r>
      <t>Allergy (PGDip)</t>
    </r>
    <r>
      <rPr>
        <vertAlign val="superscript"/>
        <sz val="11"/>
        <color theme="1"/>
        <rFont val="Calibri"/>
        <family val="2"/>
        <scheme val="minor"/>
      </rPr>
      <t>†</t>
    </r>
  </si>
  <si>
    <t>Environmental Technology</t>
  </si>
  <si>
    <t>Applied Biosciences and Biotechnology</t>
  </si>
  <si>
    <t>Bioinformatics and Theoretical Systems Biology</t>
  </si>
  <si>
    <t>Mathematics and Finance</t>
  </si>
  <si>
    <t>Sustainable Retirement Investment and Management</t>
  </si>
  <si>
    <t>Statistics</t>
  </si>
  <si>
    <t>Theory and Simulation of Materials</t>
  </si>
  <si>
    <t>Physics with Nanophotonics</t>
  </si>
  <si>
    <t>Physics with Shock Physics</t>
  </si>
  <si>
    <t>All Other Physics Subjects</t>
  </si>
  <si>
    <t xml:space="preserve">Top-up fee, students must first have completed the lower level programme(s), students converting a PGCert to an MSc in one year will pay both the PGDip fee and the MSc Project fee.  </t>
  </si>
  <si>
    <r>
      <t>Genomic Medicine (PGDip)</t>
    </r>
    <r>
      <rPr>
        <vertAlign val="superscript"/>
        <sz val="11"/>
        <color theme="1"/>
        <rFont val="Calibri"/>
        <family val="2"/>
        <scheme val="minor"/>
      </rPr>
      <t>†</t>
    </r>
  </si>
  <si>
    <r>
      <t>Patient Safety (PGDip)</t>
    </r>
    <r>
      <rPr>
        <vertAlign val="superscript"/>
        <sz val="11"/>
        <color theme="1"/>
        <rFont val="Calibri"/>
        <family val="2"/>
        <scheme val="minor"/>
      </rPr>
      <t>†</t>
    </r>
  </si>
  <si>
    <r>
      <t>Patient Safety (MSc)</t>
    </r>
    <r>
      <rPr>
        <vertAlign val="superscript"/>
        <sz val="11"/>
        <color theme="1"/>
        <rFont val="Calibri"/>
        <family val="2"/>
        <scheme val="minor"/>
      </rPr>
      <t>†</t>
    </r>
  </si>
  <si>
    <r>
      <t>Preventive Cardiology (PGDip)</t>
    </r>
    <r>
      <rPr>
        <vertAlign val="superscript"/>
        <sz val="11"/>
        <color theme="1"/>
        <rFont val="Calibri"/>
        <family val="2"/>
        <scheme val="minor"/>
      </rPr>
      <t>†</t>
    </r>
  </si>
  <si>
    <r>
      <t>Surgical Innovation (PGDip)</t>
    </r>
    <r>
      <rPr>
        <vertAlign val="superscript"/>
        <sz val="11"/>
        <color theme="1"/>
        <rFont val="Calibri"/>
        <family val="2"/>
        <scheme val="minor"/>
      </rPr>
      <t>†</t>
    </r>
  </si>
  <si>
    <r>
      <t>Surgical Innovation (MSc Project)</t>
    </r>
    <r>
      <rPr>
        <vertAlign val="superscript"/>
        <sz val="11"/>
        <color theme="1"/>
        <rFont val="Calibri"/>
        <family val="2"/>
        <scheme val="minor"/>
      </rPr>
      <t>†</t>
    </r>
  </si>
  <si>
    <r>
      <t>Physics with Extended Research</t>
    </r>
    <r>
      <rPr>
        <vertAlign val="superscript"/>
        <sz val="11"/>
        <color theme="1"/>
        <rFont val="Calibri"/>
        <family val="2"/>
        <scheme val="minor"/>
      </rPr>
      <t>††</t>
    </r>
  </si>
  <si>
    <t xml:space="preserve">The fees for this subject are fixed for the duration of the programme, students in the 2015 Cohort will pay the 2015-entrant fee of £6,750.00.  </t>
  </si>
  <si>
    <t>Master of Business Administration</t>
  </si>
  <si>
    <t>Climate Change, Management &amp; Finance</t>
  </si>
  <si>
    <t>Finance</t>
  </si>
  <si>
    <t>Finance and Accounting</t>
  </si>
  <si>
    <t>Investment and Wealth Management</t>
  </si>
  <si>
    <t>Risk Management and Financial Engineering</t>
  </si>
  <si>
    <t>All Other Management Subjects</t>
  </si>
  <si>
    <t>All Languages, Culture and Communication Subjects</t>
  </si>
  <si>
    <t>Business School</t>
  </si>
  <si>
    <r>
      <t>Executive MBA</t>
    </r>
    <r>
      <rPr>
        <vertAlign val="superscript"/>
        <sz val="11"/>
        <color theme="1"/>
        <rFont val="Calibri"/>
        <family val="2"/>
        <scheme val="minor"/>
      </rPr>
      <t>†</t>
    </r>
  </si>
  <si>
    <r>
      <t>Weekend MBA</t>
    </r>
    <r>
      <rPr>
        <vertAlign val="superscript"/>
        <sz val="11"/>
        <color theme="1"/>
        <rFont val="Calibri"/>
        <family val="2"/>
        <scheme val="minor"/>
      </rPr>
      <t>†</t>
    </r>
  </si>
  <si>
    <r>
      <t>Global Online MBA</t>
    </r>
    <r>
      <rPr>
        <vertAlign val="superscript"/>
        <sz val="11"/>
        <color theme="1"/>
        <rFont val="Calibri"/>
        <family val="2"/>
        <scheme val="minor"/>
      </rPr>
      <t>†</t>
    </r>
  </si>
  <si>
    <t xml:space="preserve">The fees for these subjects are fixed for the duration of the programme and will not be subject to any inflationary increases.  </t>
  </si>
  <si>
    <t>Postgraduate Students</t>
  </si>
  <si>
    <t>Undergraduate Students</t>
  </si>
  <si>
    <t>Repeat Periods</t>
  </si>
  <si>
    <r>
      <t xml:space="preserve">All students repeating a year in attendance at the College are charged the relevant sessional fee based upon their original cohort as adjusted for inflation; those repeating part of a year will be charged the relevant sessional fee based upon their original cohort as adjusted for inflation </t>
    </r>
    <r>
      <rPr>
        <i/>
        <sz val="11"/>
        <color theme="1"/>
        <rFont val="Calibri"/>
        <family val="2"/>
        <scheme val="minor"/>
      </rPr>
      <t xml:space="preserve">pro-rata </t>
    </r>
    <r>
      <rPr>
        <sz val="11"/>
        <color theme="1"/>
        <rFont val="Calibri"/>
        <family val="2"/>
        <scheme val="minor"/>
      </rPr>
      <t xml:space="preserve">the number of weeks or any part thereof studid relative to the session length for the year being repeated and subject to any liability maxima in place.  All fees for repeat years (or partial repeat years) in attendance include examination entry fees for the year being repeated and so re-examination fees are not payable.  As fees for repeat periods are adjusted for inflation, the fee payable may be higher in absolute terms than the fee for the first attempt.  </t>
    </r>
  </si>
  <si>
    <r>
      <t xml:space="preserve">Where a student interrupts or resumes their studies during the academic session, their fee liability will be assessed </t>
    </r>
    <r>
      <rPr>
        <i/>
        <sz val="11"/>
        <color theme="1"/>
        <rFont val="Calibri"/>
        <family val="2"/>
        <scheme val="minor"/>
      </rPr>
      <t xml:space="preserve">pro-rata </t>
    </r>
    <r>
      <rPr>
        <sz val="11"/>
        <color theme="1"/>
        <rFont val="Calibri"/>
        <family val="2"/>
        <scheme val="minor"/>
      </rPr>
      <t xml:space="preserve">the number of weeks or any part thereof of attendance relative to the length of the session from which the student interrupts subject to any liability maxima in force.  The fees for students resuming their studies will be assessed based on their original cohort as adjusted for inflation and so may be higher in absolute terms than the fees when they interrupted.  </t>
    </r>
  </si>
  <si>
    <t>Additional charge for taking a postgraduate degree examination overseas</t>
  </si>
  <si>
    <t>Miscellaneous Fees</t>
  </si>
  <si>
    <r>
      <t>Re-Examination Fees</t>
    </r>
    <r>
      <rPr>
        <b/>
        <vertAlign val="superscript"/>
        <sz val="11"/>
        <color theme="1"/>
        <rFont val="Calibri"/>
        <family val="2"/>
        <scheme val="minor"/>
      </rPr>
      <t>†</t>
    </r>
  </si>
  <si>
    <r>
      <t>Re-Entry Fee (for students repeating examinations without attendance at the College)</t>
    </r>
    <r>
      <rPr>
        <vertAlign val="superscript"/>
        <sz val="11"/>
        <color theme="1"/>
        <rFont val="Calibri"/>
        <family val="2"/>
        <scheme val="minor"/>
      </rPr>
      <t>††</t>
    </r>
  </si>
  <si>
    <r>
      <t>Re-Entry with Revision Fee (for students repeating examinations and registered as in attendance at the College during the Summer Term)</t>
    </r>
    <r>
      <rPr>
        <vertAlign val="superscript"/>
        <sz val="11"/>
        <color theme="1"/>
        <rFont val="Calibri"/>
        <family val="2"/>
        <scheme val="minor"/>
      </rPr>
      <t>††</t>
    </r>
  </si>
  <si>
    <t xml:space="preserve">The sessional fees for all programmes include one entry to all required examinations.  Undergraduate students that are unsuccessful in their first attempt at an examination may additionally be entitled to resubmit themselves for examination in a sessional qualifying test within the same session, in these circumstances, no fees are payable for entry to the sessional qualifying test.  </t>
  </si>
  <si>
    <t xml:space="preserve">Undergraduate students that have been unsuccessful in their first attempt at an examination and also in any relevant sessional qualifying test will not be able to graduate or progress to the next year of the programme; these students may be permitted to re-enter the examinations in the following year. The Re-Entry Fee covers entrance to the examination only, the candidate will not have access to College facilities other than for the time of the examination itself; the Re-Entry with Revision Fee covers entrance to the examination and registration as a student of the College for the summer term granting the candidate full access to College facilities during this period.  </t>
  </si>
  <si>
    <t xml:space="preserve">The fees for this subject are fixed for the duration of the programme, students in the 2015 Cohort will pay the 2015-entrant fee of £18,000.00.  </t>
  </si>
  <si>
    <t>Year Abroad/Industry</t>
  </si>
  <si>
    <t>H410</t>
  </si>
  <si>
    <t>H420</t>
  </si>
  <si>
    <t>BHV1</t>
  </si>
  <si>
    <t>BHV2</t>
  </si>
  <si>
    <t>H802</t>
  </si>
  <si>
    <t>H202</t>
  </si>
  <si>
    <t>F601</t>
  </si>
  <si>
    <t>F664</t>
  </si>
  <si>
    <t>H601</t>
  </si>
  <si>
    <t>HG6M</t>
  </si>
  <si>
    <t>H303</t>
  </si>
  <si>
    <t>H304</t>
  </si>
  <si>
    <t>H3G1</t>
  </si>
  <si>
    <t>H3G2</t>
  </si>
  <si>
    <t>F101</t>
  </si>
  <si>
    <t>F104</t>
  </si>
  <si>
    <t>F105</t>
  </si>
  <si>
    <t>F125</t>
  </si>
  <si>
    <t>F1FH</t>
  </si>
  <si>
    <t>F1R1</t>
  </si>
  <si>
    <t>F1R2</t>
  </si>
  <si>
    <t>F1R4</t>
  </si>
  <si>
    <t>FN11</t>
  </si>
  <si>
    <t>C102</t>
  </si>
  <si>
    <t>C110</t>
  </si>
  <si>
    <t>C1NA</t>
  </si>
  <si>
    <t>C1NF</t>
  </si>
  <si>
    <t>C1R1</t>
  </si>
  <si>
    <t>C1R2</t>
  </si>
  <si>
    <t>C1R4</t>
  </si>
  <si>
    <t>C701</t>
  </si>
  <si>
    <t>C702</t>
  </si>
  <si>
    <t>C7NA</t>
  </si>
  <si>
    <t>C7NF</t>
  </si>
  <si>
    <t>C7R1</t>
  </si>
  <si>
    <t>C7R2</t>
  </si>
  <si>
    <t>C7R4</t>
  </si>
  <si>
    <t>J701</t>
  </si>
  <si>
    <t>J702</t>
  </si>
  <si>
    <t>J7NF</t>
  </si>
  <si>
    <t>J7R1</t>
  </si>
  <si>
    <t>J7R2</t>
  </si>
  <si>
    <t>J7R4</t>
  </si>
  <si>
    <t>G101</t>
  </si>
  <si>
    <t>G104</t>
  </si>
  <si>
    <t>F309</t>
  </si>
  <si>
    <t>The fees for continuing students will increase annually by the RPI value for April in the calendar year the session commences rounded to the nearest £500 and subject to a cap of the new-entrant fee for that session.</t>
  </si>
  <si>
    <t>The fees for continuing students will increase annually by the RPI value for 
April in the calendar year the session commences rounded to the nearest 
£500 and subject to a cap of the new-entrant fee for that session.</t>
  </si>
  <si>
    <t>Continuing students fees increase annually by the RPI value for April of the calendar year in which the session 
commences rounded to the nearest £500 and subject to a cap of the new-entrant fee for that session.</t>
  </si>
  <si>
    <t>The fees for continuing students will increase annually by the RPI value for April in the calendar year the session 
commences rounded to the nearest £500 and subject to a cap of the new-entrant fee to that session.</t>
  </si>
  <si>
    <t>UG Programme Lengths</t>
  </si>
  <si>
    <t>28G3</t>
  </si>
  <si>
    <t>A100</t>
  </si>
  <si>
    <t>A101</t>
  </si>
  <si>
    <t>A109</t>
  </si>
  <si>
    <t>A125</t>
  </si>
  <si>
    <t>A127</t>
  </si>
  <si>
    <t>A128</t>
  </si>
  <si>
    <t>A130</t>
  </si>
  <si>
    <t>A131</t>
  </si>
  <si>
    <t>A132</t>
  </si>
  <si>
    <t>A136</t>
  </si>
  <si>
    <t>A137</t>
  </si>
  <si>
    <t>A138</t>
  </si>
  <si>
    <t>A139</t>
  </si>
  <si>
    <t>A140</t>
  </si>
  <si>
    <t>A141</t>
  </si>
  <si>
    <t>A142</t>
  </si>
  <si>
    <t>A143</t>
  </si>
  <si>
    <t>A300</t>
  </si>
  <si>
    <t>B101</t>
  </si>
  <si>
    <t>B111</t>
  </si>
  <si>
    <t>B900</t>
  </si>
  <si>
    <t>B9N2</t>
  </si>
  <si>
    <t>BB2X</t>
  </si>
  <si>
    <t>BH81</t>
  </si>
  <si>
    <t>BH9C</t>
  </si>
  <si>
    <t>BJ95</t>
  </si>
  <si>
    <t>C100</t>
  </si>
  <si>
    <t>C180</t>
  </si>
  <si>
    <t>C1N2</t>
  </si>
  <si>
    <t>C1NG</t>
  </si>
  <si>
    <t>C300</t>
  </si>
  <si>
    <t>C500</t>
  </si>
  <si>
    <t>C700</t>
  </si>
  <si>
    <t>C7N2</t>
  </si>
  <si>
    <t>C7NG</t>
  </si>
  <si>
    <t>F100</t>
  </si>
  <si>
    <t>F103</t>
  </si>
  <si>
    <t>F124</t>
  </si>
  <si>
    <t>F1F3</t>
  </si>
  <si>
    <t>F1N2</t>
  </si>
  <si>
    <t>F1NF</t>
  </si>
  <si>
    <t>F1SC</t>
  </si>
  <si>
    <t>F300</t>
  </si>
  <si>
    <t>F303</t>
  </si>
  <si>
    <t>F325</t>
  </si>
  <si>
    <t>F390</t>
  </si>
  <si>
    <t>F3W3</t>
  </si>
  <si>
    <t>F3XC</t>
  </si>
  <si>
    <t>F3XD</t>
  </si>
  <si>
    <t>F600</t>
  </si>
  <si>
    <t>F631</t>
  </si>
  <si>
    <t>F640</t>
  </si>
  <si>
    <t>F644</t>
  </si>
  <si>
    <t>F645</t>
  </si>
  <si>
    <t>F660</t>
  </si>
  <si>
    <t>F661</t>
  </si>
  <si>
    <t>F662</t>
  </si>
  <si>
    <t>F663</t>
  </si>
  <si>
    <t>G100</t>
  </si>
  <si>
    <t>G102</t>
  </si>
  <si>
    <t>G103</t>
  </si>
  <si>
    <t>G125</t>
  </si>
  <si>
    <t>G1EB</t>
  </si>
  <si>
    <t>G1EM</t>
  </si>
  <si>
    <t>G1F3</t>
  </si>
  <si>
    <t>G1G3</t>
  </si>
  <si>
    <t>G1GH</t>
  </si>
  <si>
    <t>G400</t>
  </si>
  <si>
    <t>G401</t>
  </si>
  <si>
    <t>G402</t>
  </si>
  <si>
    <t>G430</t>
  </si>
  <si>
    <t>G501</t>
  </si>
  <si>
    <t>G600</t>
  </si>
  <si>
    <t>G700</t>
  </si>
  <si>
    <t>GG14</t>
  </si>
  <si>
    <t>GG31</t>
  </si>
  <si>
    <t>GG41</t>
  </si>
  <si>
    <t>GG47</t>
  </si>
  <si>
    <t>GH56</t>
  </si>
  <si>
    <t>GI43</t>
  </si>
  <si>
    <t>H160</t>
  </si>
  <si>
    <t>H161</t>
  </si>
  <si>
    <t>H201</t>
  </si>
  <si>
    <t>H300</t>
  </si>
  <si>
    <t>H301</t>
  </si>
  <si>
    <t>H3H8</t>
  </si>
  <si>
    <t>H400</t>
  </si>
  <si>
    <t>H401</t>
  </si>
  <si>
    <t>H415</t>
  </si>
  <si>
    <t>H600</t>
  </si>
  <si>
    <t>H604</t>
  </si>
  <si>
    <t>H6N2</t>
  </si>
  <si>
    <t>H801</t>
  </si>
  <si>
    <t>H890</t>
  </si>
  <si>
    <t>HG65</t>
  </si>
  <si>
    <t>HJ45</t>
  </si>
  <si>
    <t>IG11</t>
  </si>
  <si>
    <t>J5H8</t>
  </si>
  <si>
    <t>J5N2</t>
  </si>
  <si>
    <t>J700</t>
  </si>
  <si>
    <t>J7N2</t>
  </si>
  <si>
    <t>JF52</t>
  </si>
  <si>
    <t>JFM2</t>
  </si>
  <si>
    <t>Code</t>
  </si>
  <si>
    <t>Length</t>
  </si>
  <si>
    <t>All Other Earth Science Engineering Subjects</t>
  </si>
  <si>
    <t>The reduced rate for Home/EU students on a placement year of a course with a year in industry or research is £900.00; the reduced rate for Home/EU students attending the whole year abroad at an overseas university/college or research institute as part of their course is £1,350.00.  The reduced rate for Home/EU students who commenced their studies between 1 September 2006 and 31 August 2012 on both placement years and years abroad will be £1,725.00.</t>
  </si>
  <si>
    <t>The reduced rate for Home/EU students on a placement year of a course with a year in industry or research is £1,800.00; the reduced rate for Home/EU students on an Erasmus year or attending the whole year abroad at an overseas university/college or research institute as part of their course is £1,350.00.  The reduced rate for Home/EU students who commenced their studies between 1 September 2006 and 31 August 2012 on both placement years and years abroad will be £1,725.00.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</si>
</sst>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b/>
      <sz val="12"/>
      <color theme="1"/>
      <name val="Calibri"/>
      <family val="2"/>
      <scheme val="minor"/>
    </font>
    <font>
      <b/>
      <i/>
      <sz val="11"/>
      <color theme="1"/>
      <name val="Calibri"/>
      <family val="2"/>
      <scheme val="minor"/>
    </font>
    <font>
      <b/>
      <vertAlign val="superscript"/>
      <sz val="11"/>
      <color theme="1"/>
      <name val="Calibri"/>
      <family val="2"/>
      <scheme val="minor"/>
    </font>
    <font>
      <i/>
      <sz val="9"/>
      <color theme="1"/>
      <name val="Calibri"/>
      <family val="2"/>
      <scheme val="minor"/>
    </font>
    <font>
      <b/>
      <sz val="11"/>
      <color indexed="8"/>
      <name val="Calibri"/>
      <family val="2"/>
      <scheme val="minor"/>
    </font>
    <font>
      <vertAlign val="superscript"/>
      <sz val="11"/>
      <color theme="1"/>
      <name val="Calibri"/>
      <family val="2"/>
    </font>
    <font>
      <sz val="10"/>
      <color theme="1"/>
      <name val="Calibri"/>
      <family val="2"/>
      <scheme val="minor"/>
    </font>
    <font>
      <sz val="10.5"/>
      <color theme="1"/>
      <name val="Calibri"/>
      <family val="2"/>
      <scheme val="minor"/>
    </font>
  </fonts>
  <fills count="2">
    <fill>
      <patternFill patternType="none"/>
    </fill>
    <fill>
      <patternFill patternType="gray125"/>
    </fill>
  </fills>
  <borders count="39">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197">
    <xf numFmtId="0" fontId="0" fillId="0" borderId="0" xfId="0"/>
    <xf numFmtId="0" fontId="0" fillId="0" borderId="0" xfId="0"/>
    <xf numFmtId="0" fontId="3" fillId="0" borderId="0" xfId="0" applyFont="1" applyAlignment="1">
      <alignment horizontal="center" wrapText="1"/>
    </xf>
    <xf numFmtId="0" fontId="4" fillId="0" borderId="0" xfId="0" applyFont="1" applyAlignment="1">
      <alignment horizontal="lef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44" fontId="0" fillId="0" borderId="3" xfId="1" applyFont="1" applyBorder="1" applyAlignment="1">
      <alignment vertical="center"/>
    </xf>
    <xf numFmtId="44" fontId="1" fillId="0" borderId="3" xfId="1" applyFont="1" applyBorder="1" applyAlignment="1">
      <alignment vertical="center"/>
    </xf>
    <xf numFmtId="0" fontId="0" fillId="0" borderId="0" xfId="0" applyAlignment="1">
      <alignment wrapText="1"/>
    </xf>
    <xf numFmtId="0" fontId="0" fillId="0" borderId="0" xfId="0" applyAlignment="1">
      <alignment vertical="center"/>
    </xf>
    <xf numFmtId="0" fontId="0" fillId="0" borderId="0" xfId="0" applyAlignment="1">
      <alignment horizontal="left"/>
    </xf>
    <xf numFmtId="0" fontId="4" fillId="0" borderId="0" xfId="0" applyFont="1" applyAlignment="1">
      <alignment horizontal="right" vertical="top" wrapText="1"/>
    </xf>
    <xf numFmtId="0" fontId="0" fillId="0" borderId="3" xfId="0" applyFont="1" applyBorder="1" applyAlignment="1">
      <alignment vertical="center"/>
    </xf>
    <xf numFmtId="0" fontId="0" fillId="0" borderId="0" xfId="0" applyAlignment="1">
      <alignment horizontal="left" vertical="center"/>
    </xf>
    <xf numFmtId="0" fontId="0" fillId="0" borderId="3" xfId="0" applyFont="1" applyFill="1" applyBorder="1" applyAlignment="1">
      <alignment vertical="center"/>
    </xf>
    <xf numFmtId="44" fontId="0" fillId="0" borderId="6" xfId="1" applyFont="1" applyBorder="1" applyAlignment="1">
      <alignment vertical="center"/>
    </xf>
    <xf numFmtId="0" fontId="0" fillId="0" borderId="11" xfId="0" applyFont="1" applyBorder="1" applyAlignment="1">
      <alignment vertical="center" wrapText="1"/>
    </xf>
    <xf numFmtId="0" fontId="0" fillId="0" borderId="16" xfId="0" applyFont="1" applyBorder="1" applyAlignment="1">
      <alignment vertical="center" wrapText="1"/>
    </xf>
    <xf numFmtId="0" fontId="0" fillId="0" borderId="18" xfId="0" applyBorder="1" applyAlignment="1">
      <alignment vertical="center"/>
    </xf>
    <xf numFmtId="0" fontId="0" fillId="0" borderId="19" xfId="0" applyNumberFormat="1" applyFont="1" applyBorder="1" applyAlignment="1">
      <alignment horizontal="center" vertical="center" wrapText="1"/>
    </xf>
    <xf numFmtId="0" fontId="0" fillId="0" borderId="20" xfId="0" applyNumberFormat="1" applyFont="1" applyBorder="1" applyAlignment="1">
      <alignment horizontal="center" vertical="center" wrapText="1"/>
    </xf>
    <xf numFmtId="0" fontId="0" fillId="0" borderId="21" xfId="0" applyBorder="1" applyAlignment="1">
      <alignment vertical="center"/>
    </xf>
    <xf numFmtId="0" fontId="0" fillId="0" borderId="22" xfId="0" applyNumberFormat="1" applyFont="1" applyBorder="1" applyAlignment="1">
      <alignment horizontal="center" vertical="center" wrapText="1"/>
    </xf>
    <xf numFmtId="0" fontId="0" fillId="0" borderId="23" xfId="0" applyNumberFormat="1" applyFont="1" applyBorder="1" applyAlignment="1">
      <alignment horizontal="center" vertical="center" wrapText="1"/>
    </xf>
    <xf numFmtId="44" fontId="1" fillId="0" borderId="11" xfId="1" applyFont="1" applyBorder="1" applyAlignment="1">
      <alignment vertical="center"/>
    </xf>
    <xf numFmtId="44" fontId="1" fillId="0" borderId="12" xfId="1" applyFont="1" applyBorder="1" applyAlignment="1">
      <alignment vertical="center"/>
    </xf>
    <xf numFmtId="44" fontId="1" fillId="0" borderId="14" xfId="1" applyFont="1" applyBorder="1" applyAlignment="1">
      <alignment vertical="center"/>
    </xf>
    <xf numFmtId="44" fontId="1" fillId="0" borderId="16" xfId="1" applyFont="1" applyBorder="1" applyAlignment="1">
      <alignment vertical="center"/>
    </xf>
    <xf numFmtId="44" fontId="1" fillId="0" borderId="17" xfId="1" applyFont="1" applyBorder="1" applyAlignment="1">
      <alignment vertical="center"/>
    </xf>
    <xf numFmtId="44" fontId="0" fillId="0" borderId="16" xfId="1" applyFont="1" applyBorder="1" applyAlignment="1">
      <alignment vertical="center"/>
    </xf>
    <xf numFmtId="44" fontId="0" fillId="0" borderId="17" xfId="1" applyFont="1" applyBorder="1" applyAlignment="1">
      <alignment vertical="center"/>
    </xf>
    <xf numFmtId="0" fontId="5" fillId="0" borderId="31" xfId="0" applyFont="1" applyBorder="1" applyAlignment="1">
      <alignment vertical="center" textRotation="90"/>
    </xf>
    <xf numFmtId="0" fontId="0" fillId="0" borderId="19" xfId="0" applyFont="1" applyFill="1" applyBorder="1" applyAlignment="1">
      <alignment vertical="center" wrapText="1"/>
    </xf>
    <xf numFmtId="44" fontId="0" fillId="0" borderId="19" xfId="1" applyFont="1" applyBorder="1" applyAlignment="1">
      <alignment vertical="center"/>
    </xf>
    <xf numFmtId="44" fontId="0" fillId="0" borderId="20" xfId="1" applyFont="1" applyBorder="1" applyAlignment="1">
      <alignment vertical="center"/>
    </xf>
    <xf numFmtId="0" fontId="0" fillId="0" borderId="11" xfId="0" applyFont="1" applyBorder="1" applyAlignment="1">
      <alignment vertical="center"/>
    </xf>
    <xf numFmtId="0" fontId="0" fillId="0" borderId="16" xfId="0" applyFont="1" applyBorder="1" applyAlignment="1">
      <alignment vertical="center"/>
    </xf>
    <xf numFmtId="0" fontId="0" fillId="0" borderId="11" xfId="0" applyFont="1" applyFill="1" applyBorder="1" applyAlignment="1">
      <alignment vertical="center"/>
    </xf>
    <xf numFmtId="0" fontId="0" fillId="0" borderId="16" xfId="0" applyFont="1" applyFill="1" applyBorder="1" applyAlignment="1">
      <alignment vertical="center"/>
    </xf>
    <xf numFmtId="44" fontId="0" fillId="0" borderId="11" xfId="1" applyFont="1" applyBorder="1" applyAlignment="1">
      <alignment vertical="center"/>
    </xf>
    <xf numFmtId="44" fontId="0" fillId="0" borderId="12" xfId="1" applyFont="1" applyBorder="1" applyAlignment="1">
      <alignment vertical="center"/>
    </xf>
    <xf numFmtId="44" fontId="0" fillId="0" borderId="14" xfId="1" applyFont="1" applyBorder="1" applyAlignment="1">
      <alignment vertical="center"/>
    </xf>
    <xf numFmtId="44" fontId="0" fillId="0" borderId="3" xfId="1" applyFont="1" applyBorder="1" applyAlignment="1">
      <alignment wrapText="1"/>
    </xf>
    <xf numFmtId="0" fontId="0" fillId="0" borderId="3" xfId="0" applyBorder="1" applyAlignment="1">
      <alignment vertical="center" wrapText="1"/>
    </xf>
    <xf numFmtId="44" fontId="0" fillId="0" borderId="3" xfId="1" applyFont="1" applyBorder="1" applyAlignment="1">
      <alignment vertical="center" wrapText="1"/>
    </xf>
    <xf numFmtId="0" fontId="4" fillId="0" borderId="0" xfId="0" applyNumberFormat="1" applyFont="1" applyAlignment="1">
      <alignment vertical="top" wrapText="1"/>
    </xf>
    <xf numFmtId="0" fontId="0" fillId="0" borderId="3" xfId="0" applyBorder="1" applyAlignment="1">
      <alignment wrapText="1"/>
    </xf>
    <xf numFmtId="0" fontId="0" fillId="0" borderId="0" xfId="0" applyAlignment="1">
      <alignment vertical="top"/>
    </xf>
    <xf numFmtId="0" fontId="0" fillId="0" borderId="3" xfId="0" applyBorder="1" applyAlignment="1">
      <alignment vertical="top" wrapText="1"/>
    </xf>
    <xf numFmtId="0" fontId="0" fillId="0" borderId="3" xfId="0" applyBorder="1" applyAlignment="1">
      <alignment vertical="top"/>
    </xf>
    <xf numFmtId="0" fontId="0" fillId="0" borderId="3" xfId="0" applyFill="1" applyBorder="1" applyAlignment="1">
      <alignment vertical="top" wrapText="1"/>
    </xf>
    <xf numFmtId="0" fontId="0" fillId="0" borderId="0" xfId="0" applyAlignment="1">
      <alignment vertical="center" wrapText="1"/>
    </xf>
    <xf numFmtId="0" fontId="0" fillId="0" borderId="0" xfId="0"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1" xfId="0" applyBorder="1" applyAlignment="1">
      <alignment horizontal="center" vertical="center"/>
    </xf>
    <xf numFmtId="44" fontId="0" fillId="0" borderId="0" xfId="1" applyFont="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1" xfId="0" applyBorder="1" applyAlignment="1">
      <alignment vertical="center"/>
    </xf>
    <xf numFmtId="0" fontId="0" fillId="0" borderId="3" xfId="0" applyBorder="1" applyAlignment="1">
      <alignment vertical="center"/>
    </xf>
    <xf numFmtId="44" fontId="0" fillId="0" borderId="3" xfId="1" applyFont="1" applyBorder="1" applyAlignment="1">
      <alignment horizontal="center" vertical="center"/>
    </xf>
    <xf numFmtId="44" fontId="0" fillId="0" borderId="14" xfId="1" applyFont="1" applyBorder="1" applyAlignment="1">
      <alignment horizontal="center" vertical="center"/>
    </xf>
    <xf numFmtId="0" fontId="0" fillId="0" borderId="16" xfId="0" applyBorder="1" applyAlignment="1">
      <alignment vertical="center"/>
    </xf>
    <xf numFmtId="44" fontId="0" fillId="0" borderId="16" xfId="1" applyFont="1" applyBorder="1" applyAlignment="1">
      <alignment horizontal="center" vertical="center"/>
    </xf>
    <xf numFmtId="44" fontId="0" fillId="0" borderId="17" xfId="1" applyFont="1" applyBorder="1" applyAlignment="1">
      <alignment horizontal="center" vertical="center"/>
    </xf>
    <xf numFmtId="0" fontId="0" fillId="0" borderId="6" xfId="0" applyBorder="1" applyAlignment="1">
      <alignment vertical="center"/>
    </xf>
    <xf numFmtId="44" fontId="0" fillId="0" borderId="6" xfId="1" applyFont="1" applyBorder="1" applyAlignment="1">
      <alignment horizontal="center" vertical="center"/>
    </xf>
    <xf numFmtId="44" fontId="0" fillId="0" borderId="32" xfId="1" applyFont="1" applyBorder="1" applyAlignment="1">
      <alignment horizontal="center" vertical="center"/>
    </xf>
    <xf numFmtId="44" fontId="0" fillId="0" borderId="11" xfId="1" applyFont="1" applyBorder="1" applyAlignment="1">
      <alignment horizontal="center" vertical="center"/>
    </xf>
    <xf numFmtId="44" fontId="0" fillId="0" borderId="12" xfId="1" applyFont="1" applyBorder="1" applyAlignment="1">
      <alignment horizontal="center" vertical="center"/>
    </xf>
    <xf numFmtId="0" fontId="9" fillId="0" borderId="31" xfId="0" applyFont="1" applyBorder="1" applyAlignment="1">
      <alignment horizontal="center" vertical="center" textRotation="90"/>
    </xf>
    <xf numFmtId="0" fontId="0" fillId="0" borderId="19" xfId="0"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44" fontId="0" fillId="0" borderId="19" xfId="1" applyFont="1" applyBorder="1" applyAlignment="1">
      <alignment horizontal="center" vertical="center"/>
    </xf>
    <xf numFmtId="44" fontId="0" fillId="0" borderId="20" xfId="1" applyFont="1" applyBorder="1" applyAlignment="1">
      <alignment horizontal="center" vertical="center"/>
    </xf>
    <xf numFmtId="0" fontId="4" fillId="0" borderId="0" xfId="0" applyFont="1" applyAlignment="1">
      <alignment vertical="center"/>
    </xf>
    <xf numFmtId="0" fontId="0" fillId="0" borderId="0" xfId="0" applyBorder="1" applyAlignment="1">
      <alignment vertical="top"/>
    </xf>
    <xf numFmtId="0" fontId="0" fillId="0" borderId="19" xfId="0" applyBorder="1" applyAlignment="1">
      <alignment vertical="center" wrapText="1"/>
    </xf>
    <xf numFmtId="0" fontId="0" fillId="0" borderId="31" xfId="1" applyNumberFormat="1" applyFont="1" applyBorder="1" applyAlignment="1">
      <alignment horizontal="center" vertical="center"/>
    </xf>
    <xf numFmtId="0" fontId="0" fillId="0" borderId="21" xfId="0" applyBorder="1" applyAlignment="1">
      <alignment vertical="center" wrapText="1"/>
    </xf>
    <xf numFmtId="0" fontId="0" fillId="0" borderId="22" xfId="1" applyNumberFormat="1" applyFont="1" applyBorder="1" applyAlignment="1">
      <alignment horizontal="center" vertical="center" wrapText="1"/>
    </xf>
    <xf numFmtId="0" fontId="0" fillId="0" borderId="23" xfId="1" applyNumberFormat="1" applyFont="1" applyBorder="1" applyAlignment="1">
      <alignment horizontal="center" vertical="center" wrapText="1"/>
    </xf>
    <xf numFmtId="0" fontId="0" fillId="0" borderId="11" xfId="0" applyBorder="1" applyAlignment="1">
      <alignment wrapText="1"/>
    </xf>
    <xf numFmtId="0" fontId="0" fillId="0" borderId="16" xfId="0" applyBorder="1" applyAlignment="1">
      <alignment wrapText="1"/>
    </xf>
    <xf numFmtId="0" fontId="4" fillId="0" borderId="0" xfId="0" applyFont="1" applyAlignment="1">
      <alignment vertical="top"/>
    </xf>
    <xf numFmtId="44" fontId="0" fillId="0" borderId="0" xfId="0" applyNumberFormat="1"/>
    <xf numFmtId="0" fontId="0" fillId="0" borderId="6" xfId="0" applyBorder="1" applyAlignment="1">
      <alignment wrapText="1"/>
    </xf>
    <xf numFmtId="0" fontId="0" fillId="0" borderId="11" xfId="0" applyBorder="1" applyAlignment="1">
      <alignment vertical="center" wrapText="1"/>
    </xf>
    <xf numFmtId="0" fontId="0" fillId="0" borderId="16" xfId="0" applyBorder="1" applyAlignment="1">
      <alignment vertical="center" wrapText="1"/>
    </xf>
    <xf numFmtId="0" fontId="5" fillId="0" borderId="18" xfId="0" applyFont="1" applyBorder="1" applyAlignment="1">
      <alignment horizontal="center" vertical="center" textRotation="90"/>
    </xf>
    <xf numFmtId="0" fontId="0" fillId="0" borderId="0" xfId="0"/>
    <xf numFmtId="0" fontId="0" fillId="0" borderId="0" xfId="0" applyAlignment="1"/>
    <xf numFmtId="44" fontId="0" fillId="0" borderId="11" xfId="1" applyFont="1" applyBorder="1" applyAlignment="1">
      <alignment vertical="center"/>
    </xf>
    <xf numFmtId="0" fontId="0" fillId="0" borderId="0" xfId="0" applyFont="1" applyFill="1" applyBorder="1" applyAlignment="1">
      <alignment vertical="center"/>
    </xf>
    <xf numFmtId="0" fontId="0" fillId="0" borderId="8" xfId="0" applyFont="1" applyBorder="1" applyAlignment="1">
      <alignment vertical="center"/>
    </xf>
    <xf numFmtId="0" fontId="5" fillId="0" borderId="10" xfId="0" applyFont="1" applyBorder="1" applyAlignment="1">
      <alignment horizontal="left" vertical="center" textRotation="90"/>
    </xf>
    <xf numFmtId="0" fontId="5" fillId="0" borderId="13" xfId="0" applyFont="1" applyBorder="1" applyAlignment="1">
      <alignment horizontal="left" vertical="center" textRotation="90"/>
    </xf>
    <xf numFmtId="0" fontId="5" fillId="0" borderId="15" xfId="0" applyFont="1" applyBorder="1" applyAlignment="1">
      <alignment horizontal="left" vertical="center" textRotation="90"/>
    </xf>
    <xf numFmtId="0" fontId="0" fillId="0" borderId="0" xfId="0"/>
    <xf numFmtId="44" fontId="0" fillId="0" borderId="12" xfId="1" applyFont="1" applyBorder="1" applyAlignment="1">
      <alignment vertical="center"/>
    </xf>
    <xf numFmtId="44" fontId="0" fillId="0" borderId="17" xfId="1" applyFont="1" applyBorder="1" applyAlignment="1">
      <alignment vertical="center"/>
    </xf>
    <xf numFmtId="44" fontId="0" fillId="0" borderId="11" xfId="1" applyFont="1" applyBorder="1" applyAlignment="1">
      <alignment vertical="center"/>
    </xf>
    <xf numFmtId="44" fontId="0" fillId="0" borderId="16" xfId="1" applyFont="1" applyBorder="1" applyAlignment="1">
      <alignment vertical="center"/>
    </xf>
    <xf numFmtId="44" fontId="0" fillId="0" borderId="11" xfId="1" applyFont="1" applyFill="1" applyBorder="1" applyAlignment="1">
      <alignment vertical="center"/>
    </xf>
    <xf numFmtId="44" fontId="0" fillId="0" borderId="16" xfId="1" applyFont="1" applyFill="1" applyBorder="1" applyAlignment="1">
      <alignment vertical="center"/>
    </xf>
    <xf numFmtId="44" fontId="0" fillId="0" borderId="3" xfId="1" applyFont="1" applyBorder="1" applyAlignment="1">
      <alignment vertical="center"/>
    </xf>
    <xf numFmtId="44" fontId="0" fillId="0" borderId="14" xfId="1" applyFont="1" applyBorder="1" applyAlignment="1">
      <alignment vertical="center"/>
    </xf>
    <xf numFmtId="0" fontId="0" fillId="0" borderId="0" xfId="0" applyAlignment="1">
      <alignment horizontal="center" wrapText="1"/>
    </xf>
    <xf numFmtId="0" fontId="5" fillId="0" borderId="27" xfId="0" applyFont="1" applyBorder="1" applyAlignment="1">
      <alignment horizontal="left" vertical="center" textRotation="90"/>
    </xf>
    <xf numFmtId="0" fontId="5" fillId="0" borderId="28" xfId="0" applyFont="1" applyBorder="1" applyAlignment="1">
      <alignment horizontal="left" vertical="center" textRotation="90"/>
    </xf>
    <xf numFmtId="0" fontId="5" fillId="0" borderId="29" xfId="0" applyFont="1" applyBorder="1" applyAlignment="1">
      <alignment horizontal="left" vertical="center" textRotation="90"/>
    </xf>
    <xf numFmtId="0" fontId="0" fillId="0" borderId="0" xfId="0" applyAlignment="1">
      <alignment wrapText="1"/>
    </xf>
    <xf numFmtId="44" fontId="1" fillId="0" borderId="22" xfId="1" applyFont="1" applyBorder="1" applyAlignment="1">
      <alignment vertical="center"/>
    </xf>
    <xf numFmtId="44" fontId="1" fillId="0" borderId="8" xfId="1" applyFont="1" applyBorder="1" applyAlignment="1">
      <alignment vertical="center"/>
    </xf>
    <xf numFmtId="44" fontId="1" fillId="0" borderId="23" xfId="1" applyFont="1" applyBorder="1" applyAlignment="1">
      <alignment vertical="center"/>
    </xf>
    <xf numFmtId="44" fontId="1" fillId="0" borderId="24" xfId="1" applyFont="1" applyBorder="1" applyAlignment="1">
      <alignment vertical="center"/>
    </xf>
    <xf numFmtId="44" fontId="1" fillId="0" borderId="26" xfId="1" applyFont="1" applyBorder="1" applyAlignment="1">
      <alignment vertical="center"/>
    </xf>
    <xf numFmtId="44" fontId="1" fillId="0" borderId="7" xfId="1" applyFont="1" applyBorder="1" applyAlignment="1">
      <alignment vertical="center"/>
    </xf>
    <xf numFmtId="44" fontId="1" fillId="0" borderId="25" xfId="1" applyFont="1" applyBorder="1" applyAlignment="1">
      <alignment vertical="center"/>
    </xf>
    <xf numFmtId="0" fontId="11" fillId="0" borderId="0" xfId="0" applyFont="1" applyAlignment="1">
      <alignment horizontal="center" vertical="top" wrapText="1"/>
    </xf>
    <xf numFmtId="44" fontId="0" fillId="0" borderId="3" xfId="1" applyFont="1" applyBorder="1" applyAlignment="1">
      <alignment horizontal="center" vertical="center"/>
    </xf>
    <xf numFmtId="44" fontId="0" fillId="0" borderId="14" xfId="1" applyFont="1" applyBorder="1" applyAlignment="1">
      <alignment horizontal="center" vertical="center"/>
    </xf>
    <xf numFmtId="0" fontId="5" fillId="0" borderId="21" xfId="0" applyFont="1" applyBorder="1" applyAlignment="1">
      <alignment horizontal="center" vertical="center" textRotation="90"/>
    </xf>
    <xf numFmtId="0" fontId="5" fillId="0" borderId="37" xfId="0" applyFont="1" applyBorder="1" applyAlignment="1">
      <alignment horizontal="center" vertical="center" textRotation="90"/>
    </xf>
    <xf numFmtId="0" fontId="5" fillId="0" borderId="38" xfId="0" applyFont="1" applyBorder="1" applyAlignment="1">
      <alignment horizontal="center" vertical="center" textRotation="90"/>
    </xf>
    <xf numFmtId="44" fontId="0" fillId="0" borderId="22" xfId="1" applyFont="1" applyBorder="1" applyAlignment="1">
      <alignment horizontal="center" vertical="center"/>
    </xf>
    <xf numFmtId="44" fontId="0" fillId="0" borderId="8" xfId="1" applyFont="1" applyBorder="1" applyAlignment="1">
      <alignment horizontal="center" vertical="center"/>
    </xf>
    <xf numFmtId="0" fontId="0" fillId="0" borderId="35" xfId="1" applyNumberFormat="1" applyFont="1" applyBorder="1" applyAlignment="1">
      <alignment horizontal="center" vertical="center"/>
    </xf>
    <xf numFmtId="0" fontId="0" fillId="0" borderId="36" xfId="1" applyNumberFormat="1" applyFont="1" applyBorder="1" applyAlignment="1">
      <alignment horizontal="center" vertical="center"/>
    </xf>
    <xf numFmtId="44" fontId="0" fillId="0" borderId="6" xfId="1" applyFont="1" applyBorder="1" applyAlignment="1">
      <alignment horizontal="center" vertical="center"/>
    </xf>
    <xf numFmtId="44" fontId="0" fillId="0" borderId="7" xfId="1" applyFont="1" applyBorder="1" applyAlignment="1">
      <alignment horizontal="center" vertical="center"/>
    </xf>
    <xf numFmtId="44" fontId="0" fillId="0" borderId="17" xfId="1" applyFont="1" applyBorder="1" applyAlignment="1">
      <alignment horizontal="center" vertical="center"/>
    </xf>
    <xf numFmtId="44" fontId="0" fillId="0" borderId="16" xfId="1" applyFont="1" applyBorder="1" applyAlignment="1">
      <alignment horizontal="center" vertical="center"/>
    </xf>
    <xf numFmtId="0" fontId="5" fillId="0" borderId="27" xfId="0" applyFont="1" applyBorder="1" applyAlignment="1">
      <alignment horizontal="center" vertical="center" textRotation="90"/>
    </xf>
    <xf numFmtId="0" fontId="5" fillId="0" borderId="28" xfId="0" applyFont="1" applyBorder="1" applyAlignment="1">
      <alignment horizontal="center" vertical="center" textRotation="90"/>
    </xf>
    <xf numFmtId="44" fontId="0" fillId="0" borderId="32" xfId="1" applyFont="1" applyBorder="1" applyAlignment="1">
      <alignment horizontal="center" vertical="center"/>
    </xf>
    <xf numFmtId="44" fontId="0" fillId="0" borderId="30" xfId="1" applyFont="1" applyBorder="1" applyAlignment="1">
      <alignment horizontal="center" vertical="center"/>
    </xf>
    <xf numFmtId="44" fontId="0" fillId="0" borderId="24" xfId="1" applyFont="1" applyBorder="1" applyAlignment="1">
      <alignment horizontal="center" vertical="center"/>
    </xf>
    <xf numFmtId="0" fontId="5" fillId="0" borderId="29" xfId="0" applyFont="1" applyBorder="1" applyAlignment="1">
      <alignment horizontal="center" vertical="center" textRotation="90"/>
    </xf>
    <xf numFmtId="0" fontId="0" fillId="0" borderId="19" xfId="0" applyBorder="1" applyAlignment="1">
      <alignment horizontal="center" vertical="center"/>
    </xf>
    <xf numFmtId="0" fontId="0" fillId="0" borderId="20" xfId="0" applyBorder="1" applyAlignment="1">
      <alignment horizontal="center" vertical="center"/>
    </xf>
    <xf numFmtId="44" fontId="0" fillId="0" borderId="23" xfId="1" applyFont="1" applyBorder="1" applyAlignment="1">
      <alignment horizontal="center" vertical="center"/>
    </xf>
    <xf numFmtId="0" fontId="5" fillId="0" borderId="27" xfId="0" applyFont="1" applyBorder="1" applyAlignment="1">
      <alignment vertical="center" textRotation="90"/>
    </xf>
    <xf numFmtId="0" fontId="5" fillId="0" borderId="28" xfId="0" applyFont="1" applyBorder="1" applyAlignment="1">
      <alignment vertical="center" textRotation="90"/>
    </xf>
    <xf numFmtId="0" fontId="5" fillId="0" borderId="29" xfId="0" applyFont="1" applyBorder="1" applyAlignment="1">
      <alignment vertical="center" textRotation="90"/>
    </xf>
    <xf numFmtId="0" fontId="0" fillId="0" borderId="0" xfId="0" applyAlignment="1">
      <alignment horizontal="center" vertical="center" wrapText="1"/>
    </xf>
    <xf numFmtId="0" fontId="0" fillId="0" borderId="0" xfId="0" applyAlignment="1">
      <alignment vertical="center"/>
    </xf>
    <xf numFmtId="0" fontId="5" fillId="0" borderId="10"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34" xfId="0" applyFont="1" applyBorder="1" applyAlignment="1">
      <alignment horizontal="center" vertical="center" textRotation="90"/>
    </xf>
    <xf numFmtId="44" fontId="0" fillId="0" borderId="26" xfId="1" applyFont="1" applyBorder="1" applyAlignment="1">
      <alignment horizontal="center" vertical="center"/>
    </xf>
    <xf numFmtId="44" fontId="0" fillId="0" borderId="25" xfId="1" applyFont="1" applyBorder="1" applyAlignment="1">
      <alignment horizontal="center" vertical="center"/>
    </xf>
    <xf numFmtId="44" fontId="0" fillId="0" borderId="11" xfId="1" applyFont="1" applyBorder="1" applyAlignment="1">
      <alignment horizontal="center" vertical="center"/>
    </xf>
    <xf numFmtId="0" fontId="9" fillId="0" borderId="10" xfId="0" applyFont="1" applyBorder="1" applyAlignment="1">
      <alignment horizontal="center" vertical="center" textRotation="90"/>
    </xf>
    <xf numFmtId="0" fontId="9" fillId="0" borderId="13" xfId="0" applyFont="1" applyBorder="1" applyAlignment="1">
      <alignment horizontal="center" vertical="center" textRotation="90"/>
    </xf>
    <xf numFmtId="0" fontId="9" fillId="0" borderId="34" xfId="0" applyFont="1" applyBorder="1" applyAlignment="1">
      <alignment horizontal="center" vertical="center" textRotation="90"/>
    </xf>
    <xf numFmtId="44" fontId="0" fillId="0" borderId="22" xfId="1" applyFont="1" applyBorder="1" applyAlignment="1">
      <alignment vertical="center"/>
    </xf>
    <xf numFmtId="44" fontId="0" fillId="0" borderId="8" xfId="1" applyFont="1" applyBorder="1" applyAlignment="1">
      <alignment vertical="center"/>
    </xf>
    <xf numFmtId="44" fontId="0" fillId="0" borderId="23" xfId="1" applyFont="1" applyBorder="1" applyAlignment="1">
      <alignment vertical="center"/>
    </xf>
    <xf numFmtId="44" fontId="0" fillId="0" borderId="24" xfId="1" applyFont="1" applyBorder="1" applyAlignment="1">
      <alignment vertical="center"/>
    </xf>
    <xf numFmtId="44" fontId="0" fillId="0" borderId="30" xfId="1" applyFont="1" applyBorder="1" applyAlignment="1">
      <alignment vertical="center"/>
    </xf>
    <xf numFmtId="44" fontId="0" fillId="0" borderId="7" xfId="1" applyFont="1" applyBorder="1" applyAlignment="1">
      <alignment vertical="center"/>
    </xf>
    <xf numFmtId="44" fontId="0" fillId="0" borderId="25" xfId="1" applyFont="1" applyBorder="1" applyAlignment="1">
      <alignment vertical="center"/>
    </xf>
    <xf numFmtId="44" fontId="0" fillId="0" borderId="26" xfId="1" applyFont="1" applyBorder="1" applyAlignment="1">
      <alignment vertical="center"/>
    </xf>
    <xf numFmtId="0" fontId="0" fillId="0" borderId="0" xfId="0" applyFont="1" applyAlignment="1">
      <alignment horizontal="center" wrapText="1"/>
    </xf>
    <xf numFmtId="0" fontId="12" fillId="0" borderId="0" xfId="0" applyFont="1" applyAlignment="1">
      <alignment horizontal="center" wrapText="1"/>
    </xf>
    <xf numFmtId="0" fontId="5" fillId="0" borderId="10" xfId="0" applyFont="1" applyBorder="1" applyAlignment="1">
      <alignment vertical="center" textRotation="90"/>
    </xf>
    <xf numFmtId="0" fontId="5" fillId="0" borderId="13" xfId="0" applyFont="1" applyBorder="1" applyAlignment="1">
      <alignment vertical="center" textRotation="90"/>
    </xf>
    <xf numFmtId="0" fontId="5" fillId="0" borderId="15" xfId="0" applyFont="1" applyBorder="1" applyAlignment="1">
      <alignment vertical="center" textRotation="90"/>
    </xf>
    <xf numFmtId="0" fontId="0" fillId="0" borderId="0" xfId="0" applyFont="1" applyFill="1" applyBorder="1" applyAlignment="1">
      <alignment vertical="center"/>
    </xf>
    <xf numFmtId="44" fontId="0" fillId="0" borderId="6" xfId="1" applyFont="1" applyBorder="1" applyAlignment="1">
      <alignment vertical="center"/>
    </xf>
    <xf numFmtId="44" fontId="0" fillId="0" borderId="32" xfId="1" applyFont="1" applyBorder="1" applyAlignment="1">
      <alignment vertical="center"/>
    </xf>
    <xf numFmtId="0" fontId="2" fillId="0" borderId="33" xfId="0" applyFont="1" applyBorder="1" applyAlignment="1">
      <alignment horizontal="center"/>
    </xf>
    <xf numFmtId="0" fontId="0" fillId="0" borderId="0" xfId="0" applyAlignment="1">
      <alignment vertical="top" wrapText="1"/>
    </xf>
    <xf numFmtId="0" fontId="0" fillId="0" borderId="4" xfId="0" applyBorder="1" applyAlignment="1">
      <alignment wrapText="1"/>
    </xf>
    <xf numFmtId="0" fontId="0" fillId="0" borderId="9" xfId="0" applyBorder="1" applyAlignment="1">
      <alignment wrapText="1"/>
    </xf>
    <xf numFmtId="0" fontId="0" fillId="0" borderId="5" xfId="0" applyBorder="1" applyAlignment="1">
      <alignment wrapText="1"/>
    </xf>
    <xf numFmtId="0" fontId="2" fillId="0" borderId="4" xfId="0" applyFont="1" applyBorder="1" applyAlignment="1">
      <alignment wrapText="1"/>
    </xf>
    <xf numFmtId="0" fontId="2" fillId="0" borderId="9" xfId="0" applyFont="1" applyBorder="1" applyAlignment="1">
      <alignment wrapText="1"/>
    </xf>
    <xf numFmtId="0" fontId="2" fillId="0" borderId="5" xfId="0" applyFont="1" applyBorder="1" applyAlignment="1">
      <alignment wrapText="1"/>
    </xf>
    <xf numFmtId="0" fontId="6" fillId="0" borderId="4" xfId="0" applyFont="1" applyBorder="1" applyAlignment="1">
      <alignment wrapText="1"/>
    </xf>
    <xf numFmtId="0" fontId="6" fillId="0" borderId="9" xfId="0" applyFont="1" applyBorder="1" applyAlignment="1">
      <alignment wrapText="1"/>
    </xf>
    <xf numFmtId="0" fontId="6" fillId="0" borderId="1" xfId="0" applyFont="1" applyBorder="1" applyAlignment="1">
      <alignment wrapText="1"/>
    </xf>
    <xf numFmtId="0" fontId="6" fillId="0" borderId="2" xfId="0" applyFont="1" applyBorder="1" applyAlignment="1">
      <alignment wrapText="1"/>
    </xf>
    <xf numFmtId="0" fontId="0" fillId="0" borderId="3" xfId="0" applyBorder="1" applyAlignment="1">
      <alignment vertical="center" wrapText="1"/>
    </xf>
    <xf numFmtId="0" fontId="0" fillId="0" borderId="3" xfId="0" applyBorder="1" applyAlignment="1">
      <alignment vertical="top" wrapText="1"/>
    </xf>
    <xf numFmtId="0" fontId="0" fillId="0" borderId="3" xfId="0" applyBorder="1" applyAlignment="1">
      <alignment vertical="top"/>
    </xf>
    <xf numFmtId="0" fontId="2" fillId="0" borderId="3" xfId="0" applyFont="1" applyBorder="1" applyAlignment="1">
      <alignment vertical="top"/>
    </xf>
    <xf numFmtId="0" fontId="6" fillId="0" borderId="3" xfId="0" applyFont="1" applyBorder="1" applyAlignment="1">
      <alignment vertical="top"/>
    </xf>
    <xf numFmtId="0" fontId="6" fillId="0" borderId="3" xfId="0" applyFont="1" applyBorder="1" applyAlignment="1">
      <alignment vertical="top" wrapText="1"/>
    </xf>
    <xf numFmtId="0" fontId="8" fillId="0" borderId="3" xfId="0" applyFont="1" applyBorder="1" applyAlignment="1">
      <alignment vertical="top" wrapText="1"/>
    </xf>
    <xf numFmtId="0" fontId="0" fillId="0" borderId="0" xfId="0" applyAlignment="1">
      <alignment vertical="top"/>
    </xf>
    <xf numFmtId="0" fontId="0" fillId="0" borderId="0" xfId="0" applyFill="1" applyBorder="1" applyAlignment="1">
      <alignment vertical="top" wrapText="1"/>
    </xf>
    <xf numFmtId="0" fontId="2" fillId="0" borderId="3" xfId="0" applyFont="1" applyBorder="1" applyAlignment="1">
      <alignment vertical="top"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C6EFCE"/>
      <color rgb="FFC6EC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6EFCE"/>
  </sheetPr>
  <dimension ref="A1:J25"/>
  <sheetViews>
    <sheetView topLeftCell="A7" zoomScaleNormal="100" workbookViewId="0"/>
  </sheetViews>
  <sheetFormatPr defaultRowHeight="15" x14ac:dyDescent="0.25"/>
  <cols>
    <col min="1" max="1" width="3.85546875" style="10" bestFit="1" customWidth="1"/>
    <col min="2" max="2" width="35.7109375" customWidth="1"/>
    <col min="3" max="10" width="11.42578125" customWidth="1"/>
  </cols>
  <sheetData>
    <row r="1" spans="1:10" ht="7.5" customHeight="1" x14ac:dyDescent="0.25"/>
    <row r="2" spans="1:10" ht="30" customHeight="1" x14ac:dyDescent="0.25">
      <c r="A2" s="109" t="s">
        <v>35</v>
      </c>
      <c r="B2" s="109"/>
      <c r="C2" s="109"/>
      <c r="D2" s="109"/>
      <c r="E2" s="109"/>
      <c r="F2" s="109"/>
      <c r="G2" s="109"/>
      <c r="H2" s="109"/>
      <c r="I2" s="109"/>
      <c r="J2" s="109"/>
    </row>
    <row r="3" spans="1:10" ht="7.5" customHeight="1" thickBot="1" x14ac:dyDescent="0.3"/>
    <row r="4" spans="1:10" ht="30" customHeight="1" thickBot="1" x14ac:dyDescent="0.3">
      <c r="B4" s="18" t="s">
        <v>42</v>
      </c>
      <c r="C4" s="19" t="str">
        <f>ReleaseYear&amp;"
Cohort"</f>
        <v>2016
Cohort</v>
      </c>
      <c r="D4" s="19" t="str">
        <f>ReleaseYear-COLUMNS($D:D)&amp;"
Cohort"</f>
        <v>2015
Cohort</v>
      </c>
      <c r="E4" s="19" t="str">
        <f>ReleaseYear-COLUMNS($D:E)&amp;"
Cohort"</f>
        <v>2014
Cohort</v>
      </c>
      <c r="F4" s="19" t="str">
        <f>ReleaseYear-COLUMNS($D:F)&amp;"
Cohort"</f>
        <v>2013
Cohort</v>
      </c>
      <c r="G4" s="19" t="str">
        <f>ReleaseYear-COLUMNS($D:G)&amp;"
Cohort"</f>
        <v>2012
Cohort</v>
      </c>
      <c r="H4" s="19" t="str">
        <f>ReleaseYear-COLUMNS($D:H)&amp;"
Cohort"</f>
        <v>2011
Cohort</v>
      </c>
      <c r="I4" s="19" t="str">
        <f>ReleaseYear-COLUMNS($D:I)&amp;"
Cohort"</f>
        <v>2010
Cohort</v>
      </c>
      <c r="J4" s="20" t="s">
        <v>13</v>
      </c>
    </row>
    <row r="5" spans="1:10" ht="7.5" customHeight="1" x14ac:dyDescent="0.25">
      <c r="A5" s="97" t="s">
        <v>39</v>
      </c>
      <c r="B5" s="16" t="s">
        <v>15</v>
      </c>
      <c r="C5" s="103">
        <v>9000</v>
      </c>
      <c r="D5" s="103">
        <v>9000</v>
      </c>
      <c r="E5" s="103">
        <v>9000</v>
      </c>
      <c r="F5" s="103">
        <v>9000</v>
      </c>
      <c r="G5" s="103">
        <v>9000</v>
      </c>
      <c r="H5" s="103">
        <v>3465</v>
      </c>
      <c r="I5" s="103">
        <v>3465</v>
      </c>
      <c r="J5" s="101">
        <v>3465</v>
      </c>
    </row>
    <row r="6" spans="1:10" ht="45" customHeight="1" x14ac:dyDescent="0.25">
      <c r="A6" s="98"/>
      <c r="B6" s="4" t="s">
        <v>16</v>
      </c>
      <c r="C6" s="107"/>
      <c r="D6" s="107"/>
      <c r="E6" s="107"/>
      <c r="F6" s="107"/>
      <c r="G6" s="107"/>
      <c r="H6" s="107"/>
      <c r="I6" s="107"/>
      <c r="J6" s="108"/>
    </row>
    <row r="7" spans="1:10" x14ac:dyDescent="0.25">
      <c r="A7" s="98"/>
      <c r="B7" s="4" t="s">
        <v>17</v>
      </c>
      <c r="C7" s="107"/>
      <c r="D7" s="107"/>
      <c r="E7" s="107"/>
      <c r="F7" s="107"/>
      <c r="G7" s="107"/>
      <c r="H7" s="107"/>
      <c r="I7" s="107"/>
      <c r="J7" s="108"/>
    </row>
    <row r="8" spans="1:10" x14ac:dyDescent="0.25">
      <c r="A8" s="98"/>
      <c r="B8" s="4" t="s">
        <v>18</v>
      </c>
      <c r="C8" s="107"/>
      <c r="D8" s="107"/>
      <c r="E8" s="107"/>
      <c r="F8" s="107"/>
      <c r="G8" s="107"/>
      <c r="H8" s="107"/>
      <c r="I8" s="107"/>
      <c r="J8" s="108"/>
    </row>
    <row r="9" spans="1:10" x14ac:dyDescent="0.25">
      <c r="A9" s="98"/>
      <c r="B9" s="4" t="s">
        <v>19</v>
      </c>
      <c r="C9" s="107"/>
      <c r="D9" s="107"/>
      <c r="E9" s="107"/>
      <c r="F9" s="107"/>
      <c r="G9" s="107"/>
      <c r="H9" s="107"/>
      <c r="I9" s="107"/>
      <c r="J9" s="108"/>
    </row>
    <row r="10" spans="1:10" x14ac:dyDescent="0.25">
      <c r="A10" s="98"/>
      <c r="B10" s="4" t="s">
        <v>20</v>
      </c>
      <c r="C10" s="107"/>
      <c r="D10" s="107"/>
      <c r="E10" s="107"/>
      <c r="F10" s="107"/>
      <c r="G10" s="107"/>
      <c r="H10" s="107"/>
      <c r="I10" s="107"/>
      <c r="J10" s="108"/>
    </row>
    <row r="11" spans="1:10" x14ac:dyDescent="0.25">
      <c r="A11" s="98"/>
      <c r="B11" s="5" t="s">
        <v>21</v>
      </c>
      <c r="C11" s="107"/>
      <c r="D11" s="107"/>
      <c r="E11" s="107"/>
      <c r="F11" s="107"/>
      <c r="G11" s="107"/>
      <c r="H11" s="107"/>
      <c r="I11" s="107"/>
      <c r="J11" s="108"/>
    </row>
    <row r="12" spans="1:10" x14ac:dyDescent="0.25">
      <c r="A12" s="98"/>
      <c r="B12" s="4" t="s">
        <v>22</v>
      </c>
      <c r="C12" s="107"/>
      <c r="D12" s="107"/>
      <c r="E12" s="107"/>
      <c r="F12" s="107"/>
      <c r="G12" s="107"/>
      <c r="H12" s="107"/>
      <c r="I12" s="107"/>
      <c r="J12" s="108"/>
    </row>
    <row r="13" spans="1:10" x14ac:dyDescent="0.25">
      <c r="A13" s="98"/>
      <c r="B13" s="4" t="s">
        <v>23</v>
      </c>
      <c r="C13" s="107"/>
      <c r="D13" s="107"/>
      <c r="E13" s="107"/>
      <c r="F13" s="107"/>
      <c r="G13" s="107"/>
      <c r="H13" s="107"/>
      <c r="I13" s="107"/>
      <c r="J13" s="108"/>
    </row>
    <row r="14" spans="1:10" x14ac:dyDescent="0.25">
      <c r="A14" s="98"/>
      <c r="B14" s="4" t="s">
        <v>24</v>
      </c>
      <c r="C14" s="107"/>
      <c r="D14" s="107"/>
      <c r="E14" s="107"/>
      <c r="F14" s="107"/>
      <c r="G14" s="107"/>
      <c r="H14" s="107"/>
      <c r="I14" s="107"/>
      <c r="J14" s="108"/>
    </row>
    <row r="15" spans="1:10" ht="15.75" thickBot="1" x14ac:dyDescent="0.3">
      <c r="A15" s="99"/>
      <c r="B15" s="17" t="s">
        <v>25</v>
      </c>
      <c r="C15" s="104"/>
      <c r="D15" s="104"/>
      <c r="E15" s="104"/>
      <c r="F15" s="104"/>
      <c r="G15" s="104"/>
      <c r="H15" s="104"/>
      <c r="I15" s="104"/>
      <c r="J15" s="102"/>
    </row>
    <row r="16" spans="1:10" ht="17.25" x14ac:dyDescent="0.25">
      <c r="A16" s="97" t="s">
        <v>33</v>
      </c>
      <c r="B16" s="16" t="s">
        <v>34</v>
      </c>
      <c r="C16" s="103">
        <v>9000</v>
      </c>
      <c r="D16" s="103">
        <v>9000</v>
      </c>
      <c r="E16" s="103">
        <v>9000</v>
      </c>
      <c r="F16" s="103">
        <v>9000</v>
      </c>
      <c r="G16" s="103">
        <v>9000</v>
      </c>
      <c r="H16" s="105">
        <v>3465</v>
      </c>
      <c r="I16" s="103">
        <v>3465</v>
      </c>
      <c r="J16" s="101">
        <v>3465</v>
      </c>
    </row>
    <row r="17" spans="1:10" ht="15.75" thickBot="1" x14ac:dyDescent="0.3">
      <c r="A17" s="99"/>
      <c r="B17" s="17" t="s">
        <v>41</v>
      </c>
      <c r="C17" s="104"/>
      <c r="D17" s="104"/>
      <c r="E17" s="104"/>
      <c r="F17" s="104"/>
      <c r="G17" s="104"/>
      <c r="H17" s="106"/>
      <c r="I17" s="104"/>
      <c r="J17" s="102"/>
    </row>
    <row r="18" spans="1:10" ht="30" customHeight="1" x14ac:dyDescent="0.25">
      <c r="A18" s="97" t="s">
        <v>40</v>
      </c>
      <c r="B18" s="16" t="s">
        <v>27</v>
      </c>
      <c r="C18" s="103">
        <v>9000</v>
      </c>
      <c r="D18" s="103">
        <v>9000</v>
      </c>
      <c r="E18" s="103">
        <v>9000</v>
      </c>
      <c r="F18" s="103">
        <v>9000</v>
      </c>
      <c r="G18" s="103">
        <v>9000</v>
      </c>
      <c r="H18" s="103">
        <v>3465</v>
      </c>
      <c r="I18" s="103">
        <v>3465</v>
      </c>
      <c r="J18" s="101">
        <v>3465</v>
      </c>
    </row>
    <row r="19" spans="1:10" ht="30" customHeight="1" x14ac:dyDescent="0.25">
      <c r="A19" s="98"/>
      <c r="B19" s="4" t="s">
        <v>28</v>
      </c>
      <c r="C19" s="107"/>
      <c r="D19" s="107"/>
      <c r="E19" s="107"/>
      <c r="F19" s="107"/>
      <c r="G19" s="107"/>
      <c r="H19" s="107"/>
      <c r="I19" s="107"/>
      <c r="J19" s="108"/>
    </row>
    <row r="20" spans="1:10" ht="26.25" customHeight="1" x14ac:dyDescent="0.25">
      <c r="A20" s="98"/>
      <c r="B20" s="4" t="s">
        <v>29</v>
      </c>
      <c r="C20" s="107"/>
      <c r="D20" s="107"/>
      <c r="E20" s="107"/>
      <c r="F20" s="107"/>
      <c r="G20" s="107"/>
      <c r="H20" s="107"/>
      <c r="I20" s="107"/>
      <c r="J20" s="108"/>
    </row>
    <row r="21" spans="1:10" ht="26.25" customHeight="1" thickBot="1" x14ac:dyDescent="0.3">
      <c r="A21" s="99"/>
      <c r="B21" s="17" t="s">
        <v>30</v>
      </c>
      <c r="C21" s="104"/>
      <c r="D21" s="104"/>
      <c r="E21" s="104"/>
      <c r="F21" s="104"/>
      <c r="G21" s="104"/>
      <c r="H21" s="104"/>
      <c r="I21" s="104"/>
      <c r="J21" s="102"/>
    </row>
    <row r="22" spans="1:10" ht="26.25" customHeight="1" x14ac:dyDescent="0.25"/>
    <row r="23" spans="1:10" ht="26.25" customHeight="1" x14ac:dyDescent="0.25">
      <c r="A23" s="3" t="s">
        <v>31</v>
      </c>
      <c r="B23" s="100" t="s">
        <v>51</v>
      </c>
      <c r="C23" s="100"/>
      <c r="D23" s="100"/>
      <c r="E23" s="100"/>
      <c r="F23" s="100"/>
      <c r="G23" s="100"/>
      <c r="H23" s="100"/>
      <c r="I23" s="100"/>
      <c r="J23" s="100"/>
    </row>
    <row r="24" spans="1:10" ht="7.5" customHeight="1" x14ac:dyDescent="0.25"/>
    <row r="25" spans="1:10" ht="15" customHeight="1" x14ac:dyDescent="0.25"/>
  </sheetData>
  <mergeCells count="29">
    <mergeCell ref="D5:D15"/>
    <mergeCell ref="C5:C15"/>
    <mergeCell ref="A2:J2"/>
    <mergeCell ref="H18:H21"/>
    <mergeCell ref="G18:G21"/>
    <mergeCell ref="F18:F21"/>
    <mergeCell ref="E18:E21"/>
    <mergeCell ref="J5:J15"/>
    <mergeCell ref="I5:I15"/>
    <mergeCell ref="H5:H15"/>
    <mergeCell ref="G5:G15"/>
    <mergeCell ref="F5:F15"/>
    <mergeCell ref="E5:E15"/>
    <mergeCell ref="A5:A15"/>
    <mergeCell ref="A16:A17"/>
    <mergeCell ref="A18:A21"/>
    <mergeCell ref="B23:J23"/>
    <mergeCell ref="J16:J17"/>
    <mergeCell ref="I16:I17"/>
    <mergeCell ref="H16:H17"/>
    <mergeCell ref="G16:G17"/>
    <mergeCell ref="F16:F17"/>
    <mergeCell ref="E16:E17"/>
    <mergeCell ref="D16:D17"/>
    <mergeCell ref="C16:C17"/>
    <mergeCell ref="D18:D21"/>
    <mergeCell ref="C18:C21"/>
    <mergeCell ref="J18:J21"/>
    <mergeCell ref="I18:I21"/>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6EFCE"/>
  </sheetPr>
  <dimension ref="A1:C76"/>
  <sheetViews>
    <sheetView zoomScaleNormal="100" workbookViewId="0">
      <selection activeCell="B47" sqref="B47:C47"/>
    </sheetView>
  </sheetViews>
  <sheetFormatPr defaultRowHeight="15" x14ac:dyDescent="0.25"/>
  <cols>
    <col min="1" max="1" width="2.42578125" style="1" customWidth="1"/>
    <col min="2" max="2" width="63.42578125" style="47" customWidth="1"/>
    <col min="3" max="3" width="65.28515625" style="47" customWidth="1"/>
  </cols>
  <sheetData>
    <row r="1" spans="2:3" ht="45" customHeight="1" x14ac:dyDescent="0.25"/>
    <row r="2" spans="2:3" ht="7.5" customHeight="1" x14ac:dyDescent="0.25">
      <c r="B2" s="189" t="s">
        <v>60</v>
      </c>
      <c r="C2" s="189"/>
    </row>
    <row r="3" spans="2:3" ht="15" customHeight="1" x14ac:dyDescent="0.25">
      <c r="B3" s="188" t="s">
        <v>61</v>
      </c>
      <c r="C3" s="188"/>
    </row>
    <row r="4" spans="2:3" ht="15" customHeight="1" x14ac:dyDescent="0.25"/>
    <row r="5" spans="2:3" ht="7.5" customHeight="1" x14ac:dyDescent="0.25">
      <c r="B5" s="189" t="s">
        <v>62</v>
      </c>
      <c r="C5" s="189"/>
    </row>
    <row r="6" spans="2:3" ht="15" customHeight="1" x14ac:dyDescent="0.25">
      <c r="B6" s="188" t="s">
        <v>63</v>
      </c>
      <c r="C6" s="48" t="s">
        <v>64</v>
      </c>
    </row>
    <row r="7" spans="2:3" ht="30" customHeight="1" x14ac:dyDescent="0.25">
      <c r="B7" s="188"/>
      <c r="C7" s="48" t="s">
        <v>65</v>
      </c>
    </row>
    <row r="8" spans="2:3" ht="45" customHeight="1" x14ac:dyDescent="0.25">
      <c r="B8" s="187" t="s">
        <v>66</v>
      </c>
      <c r="C8" s="48" t="s">
        <v>64</v>
      </c>
    </row>
    <row r="9" spans="2:3" ht="30" customHeight="1" x14ac:dyDescent="0.25">
      <c r="B9" s="187"/>
      <c r="C9" s="48" t="s">
        <v>67</v>
      </c>
    </row>
    <row r="10" spans="2:3" ht="60" customHeight="1" x14ac:dyDescent="0.25">
      <c r="B10" s="188" t="s">
        <v>68</v>
      </c>
      <c r="C10" s="188"/>
    </row>
    <row r="11" spans="2:3" ht="15" customHeight="1" x14ac:dyDescent="0.25">
      <c r="B11" s="190" t="s">
        <v>69</v>
      </c>
      <c r="C11" s="190"/>
    </row>
    <row r="12" spans="2:3" ht="15" customHeight="1" x14ac:dyDescent="0.25">
      <c r="B12" s="49" t="s">
        <v>14</v>
      </c>
      <c r="C12" s="50" t="s">
        <v>26</v>
      </c>
    </row>
    <row r="13" spans="2:3" ht="15" customHeight="1" x14ac:dyDescent="0.25">
      <c r="B13" s="48" t="s">
        <v>402</v>
      </c>
      <c r="C13" s="48" t="s">
        <v>403</v>
      </c>
    </row>
    <row r="14" spans="2:3" ht="105" customHeight="1" x14ac:dyDescent="0.25">
      <c r="B14" s="48" t="s">
        <v>70</v>
      </c>
      <c r="C14" s="48" t="s">
        <v>71</v>
      </c>
    </row>
    <row r="15" spans="2:3" ht="60" customHeight="1" x14ac:dyDescent="0.25"/>
    <row r="16" spans="2:3" ht="7.5" customHeight="1" x14ac:dyDescent="0.25">
      <c r="B16" s="189" t="s">
        <v>72</v>
      </c>
      <c r="C16" s="189"/>
    </row>
    <row r="17" spans="2:3" ht="15" customHeight="1" x14ac:dyDescent="0.25">
      <c r="B17" s="187" t="s">
        <v>94</v>
      </c>
      <c r="C17" s="187"/>
    </row>
    <row r="18" spans="2:3" ht="45" customHeight="1" x14ac:dyDescent="0.25"/>
    <row r="19" spans="2:3" ht="7.5" customHeight="1" x14ac:dyDescent="0.25">
      <c r="B19" s="189" t="s">
        <v>73</v>
      </c>
      <c r="C19" s="189"/>
    </row>
    <row r="20" spans="2:3" ht="15" customHeight="1" x14ac:dyDescent="0.25">
      <c r="B20" s="187" t="s">
        <v>74</v>
      </c>
      <c r="C20" s="49" t="s">
        <v>75</v>
      </c>
    </row>
    <row r="21" spans="2:3" ht="15" customHeight="1" x14ac:dyDescent="0.25">
      <c r="B21" s="187"/>
      <c r="C21" s="49" t="s">
        <v>76</v>
      </c>
    </row>
    <row r="22" spans="2:3" ht="15" customHeight="1" x14ac:dyDescent="0.25">
      <c r="B22" s="187"/>
      <c r="C22" s="49" t="s">
        <v>77</v>
      </c>
    </row>
    <row r="23" spans="2:3" ht="15" customHeight="1" x14ac:dyDescent="0.25">
      <c r="B23" s="187"/>
      <c r="C23" s="49" t="s">
        <v>78</v>
      </c>
    </row>
    <row r="24" spans="2:3" ht="15" customHeight="1" x14ac:dyDescent="0.25">
      <c r="B24" s="188" t="s">
        <v>79</v>
      </c>
      <c r="C24" s="188"/>
    </row>
    <row r="25" spans="2:3" ht="15" customHeight="1" x14ac:dyDescent="0.25"/>
    <row r="26" spans="2:3" ht="7.5" customHeight="1" x14ac:dyDescent="0.25">
      <c r="B26" s="189" t="s">
        <v>80</v>
      </c>
      <c r="C26" s="189"/>
    </row>
    <row r="27" spans="2:3" ht="15" customHeight="1" x14ac:dyDescent="0.25">
      <c r="B27" s="187" t="s">
        <v>81</v>
      </c>
      <c r="C27" s="187"/>
    </row>
    <row r="28" spans="2:3" ht="30" customHeight="1" x14ac:dyDescent="0.25"/>
    <row r="29" spans="2:3" ht="7.5" customHeight="1" x14ac:dyDescent="0.25">
      <c r="B29" s="189" t="s">
        <v>82</v>
      </c>
      <c r="C29" s="189"/>
    </row>
    <row r="30" spans="2:3" ht="15" customHeight="1" x14ac:dyDescent="0.25">
      <c r="B30" s="187" t="s">
        <v>96</v>
      </c>
      <c r="C30" s="187"/>
    </row>
    <row r="31" spans="2:3" ht="30" customHeight="1" x14ac:dyDescent="0.25">
      <c r="B31" s="187" t="s">
        <v>95</v>
      </c>
      <c r="C31" s="187"/>
    </row>
    <row r="32" spans="2:3" ht="60" customHeight="1" x14ac:dyDescent="0.25"/>
    <row r="33" spans="2:3" ht="7.5" customHeight="1" x14ac:dyDescent="0.25">
      <c r="B33" s="189" t="s">
        <v>87</v>
      </c>
      <c r="C33" s="189"/>
    </row>
    <row r="34" spans="2:3" ht="15" customHeight="1" x14ac:dyDescent="0.25">
      <c r="B34" s="190" t="s">
        <v>88</v>
      </c>
      <c r="C34" s="190"/>
    </row>
    <row r="35" spans="2:3" ht="15" customHeight="1" x14ac:dyDescent="0.25">
      <c r="B35" s="187" t="s">
        <v>108</v>
      </c>
      <c r="C35" s="187"/>
    </row>
    <row r="36" spans="2:3" ht="90" customHeight="1" x14ac:dyDescent="0.25">
      <c r="B36" s="187" t="s">
        <v>89</v>
      </c>
      <c r="C36" s="187"/>
    </row>
    <row r="37" spans="2:3" ht="15" customHeight="1" x14ac:dyDescent="0.25">
      <c r="B37" s="190" t="s">
        <v>90</v>
      </c>
      <c r="C37" s="190"/>
    </row>
    <row r="38" spans="2:3" ht="15" customHeight="1" x14ac:dyDescent="0.25">
      <c r="B38" s="187" t="s">
        <v>109</v>
      </c>
      <c r="C38" s="187"/>
    </row>
    <row r="39" spans="2:3" ht="105" customHeight="1" x14ac:dyDescent="0.25">
      <c r="B39" s="187" t="s">
        <v>89</v>
      </c>
      <c r="C39" s="187"/>
    </row>
    <row r="40" spans="2:3" ht="15" customHeight="1" x14ac:dyDescent="0.25">
      <c r="B40" s="188" t="s">
        <v>110</v>
      </c>
      <c r="C40" s="188"/>
    </row>
    <row r="41" spans="2:3" ht="15" customHeight="1" x14ac:dyDescent="0.25">
      <c r="B41" s="78"/>
      <c r="C41" s="78"/>
    </row>
    <row r="42" spans="2:3" s="1" customFormat="1" ht="7.5" customHeight="1" x14ac:dyDescent="0.25">
      <c r="B42" s="189" t="s">
        <v>150</v>
      </c>
      <c r="C42" s="189"/>
    </row>
    <row r="43" spans="2:3" s="1" customFormat="1" ht="15" customHeight="1" x14ac:dyDescent="0.25">
      <c r="B43" s="187" t="s">
        <v>234</v>
      </c>
      <c r="C43" s="187"/>
    </row>
    <row r="44" spans="2:3" s="1" customFormat="1" ht="60" customHeight="1" x14ac:dyDescent="0.25">
      <c r="B44" s="47"/>
      <c r="C44" s="47"/>
    </row>
    <row r="45" spans="2:3" ht="7.5" customHeight="1" x14ac:dyDescent="0.25">
      <c r="B45" s="189" t="s">
        <v>232</v>
      </c>
      <c r="C45" s="189"/>
    </row>
    <row r="46" spans="2:3" s="1" customFormat="1" ht="15" customHeight="1" x14ac:dyDescent="0.25">
      <c r="B46" s="187" t="s">
        <v>233</v>
      </c>
      <c r="C46" s="187"/>
    </row>
    <row r="47" spans="2:3" s="1" customFormat="1" ht="75" customHeight="1" x14ac:dyDescent="0.25">
      <c r="B47" s="47"/>
      <c r="C47" s="47"/>
    </row>
    <row r="48" spans="2:3" s="1" customFormat="1" ht="7.5" customHeight="1" x14ac:dyDescent="0.25">
      <c r="B48" s="189" t="s">
        <v>91</v>
      </c>
      <c r="C48" s="189"/>
    </row>
    <row r="49" spans="2:3" x14ac:dyDescent="0.25">
      <c r="B49" s="187" t="s">
        <v>92</v>
      </c>
      <c r="C49" s="187"/>
    </row>
    <row r="50" spans="2:3" ht="30" customHeight="1" x14ac:dyDescent="0.25">
      <c r="B50" s="187" t="s">
        <v>111</v>
      </c>
      <c r="C50" s="187"/>
    </row>
    <row r="51" spans="2:3" ht="60" customHeight="1" x14ac:dyDescent="0.25">
      <c r="B51" s="192" t="s">
        <v>112</v>
      </c>
      <c r="C51" s="192"/>
    </row>
    <row r="52" spans="2:3" ht="37.5" customHeight="1" x14ac:dyDescent="0.25"/>
    <row r="53" spans="2:3" ht="7.5" customHeight="1" x14ac:dyDescent="0.25">
      <c r="B53" s="189" t="s">
        <v>93</v>
      </c>
      <c r="C53" s="189"/>
    </row>
    <row r="54" spans="2:3" ht="15" customHeight="1" x14ac:dyDescent="0.25">
      <c r="B54" s="187" t="s">
        <v>113</v>
      </c>
      <c r="C54" s="187"/>
    </row>
    <row r="55" spans="2:3" ht="61.5" customHeight="1" x14ac:dyDescent="0.25">
      <c r="B55" s="188" t="s">
        <v>114</v>
      </c>
      <c r="C55" s="188"/>
    </row>
    <row r="56" spans="2:3" ht="15" customHeight="1" x14ac:dyDescent="0.25"/>
    <row r="57" spans="2:3" ht="7.5" customHeight="1" x14ac:dyDescent="0.25">
      <c r="B57" s="189" t="s">
        <v>83</v>
      </c>
      <c r="C57" s="189"/>
    </row>
    <row r="58" spans="2:3" ht="15" customHeight="1" x14ac:dyDescent="0.25">
      <c r="B58" s="190" t="s">
        <v>84</v>
      </c>
      <c r="C58" s="190"/>
    </row>
    <row r="59" spans="2:3" ht="15" customHeight="1" x14ac:dyDescent="0.25">
      <c r="B59" s="187" t="s">
        <v>97</v>
      </c>
      <c r="C59" s="187"/>
    </row>
    <row r="60" spans="2:3" ht="60" customHeight="1" x14ac:dyDescent="0.25">
      <c r="B60" s="187" t="s">
        <v>98</v>
      </c>
      <c r="C60" s="187"/>
    </row>
    <row r="61" spans="2:3" ht="45" customHeight="1" x14ac:dyDescent="0.25">
      <c r="B61" s="187" t="s">
        <v>99</v>
      </c>
      <c r="C61" s="187"/>
    </row>
    <row r="62" spans="2:3" ht="30" customHeight="1" x14ac:dyDescent="0.25">
      <c r="B62" s="187" t="s">
        <v>100</v>
      </c>
      <c r="C62" s="187"/>
    </row>
    <row r="63" spans="2:3" ht="76.5" customHeight="1" x14ac:dyDescent="0.25">
      <c r="B63" s="187" t="s">
        <v>101</v>
      </c>
      <c r="C63" s="187"/>
    </row>
    <row r="64" spans="2:3" ht="75" customHeight="1" x14ac:dyDescent="0.25">
      <c r="B64" s="191" t="s">
        <v>85</v>
      </c>
      <c r="C64" s="191"/>
    </row>
    <row r="65" spans="1:3" ht="15" customHeight="1" x14ac:dyDescent="0.25">
      <c r="B65" s="187" t="s">
        <v>102</v>
      </c>
      <c r="C65" s="187"/>
    </row>
    <row r="66" spans="1:3" ht="60" customHeight="1" x14ac:dyDescent="0.25">
      <c r="B66" s="187" t="s">
        <v>103</v>
      </c>
      <c r="C66" s="187"/>
    </row>
    <row r="67" spans="1:3" ht="45" customHeight="1" x14ac:dyDescent="0.25">
      <c r="B67" s="187" t="str">
        <f>"The amount of fee remission will be equal to "&amp;TEXT(UGStd/3,"£#,##0.00")&amp;" (one third of the Home/EU undergraduate fee).  Where the qualifying staff member works on a part-time basis, the amount of fee remission will be calculated pro-rata the contracted hours.  "</f>
        <v xml:space="preserve">The amount of fee remission will be equal to £3,000.00 (one third of the Home/EU undergraduate fee).  Where the qualifying staff member works on a part-time basis, the amount of fee remission will be calculated pro-rata the contracted hours.  </v>
      </c>
      <c r="C67" s="187"/>
    </row>
    <row r="68" spans="1:3" ht="30" customHeight="1" x14ac:dyDescent="0.25">
      <c r="B68" s="187" t="s">
        <v>104</v>
      </c>
      <c r="C68" s="187"/>
    </row>
    <row r="69" spans="1:3" ht="30" customHeight="1" x14ac:dyDescent="0.25">
      <c r="B69" s="187" t="s">
        <v>105</v>
      </c>
      <c r="C69" s="187"/>
    </row>
    <row r="70" spans="1:3" ht="45" customHeight="1" x14ac:dyDescent="0.25"/>
    <row r="71" spans="1:3" ht="7.5" customHeight="1" x14ac:dyDescent="0.25">
      <c r="B71" s="195" t="s">
        <v>106</v>
      </c>
      <c r="C71" s="195"/>
    </row>
    <row r="72" spans="1:3" ht="15" customHeight="1" x14ac:dyDescent="0.25">
      <c r="B72" s="188" t="s">
        <v>86</v>
      </c>
      <c r="C72" s="188"/>
    </row>
    <row r="73" spans="1:3" ht="15" customHeight="1" x14ac:dyDescent="0.25"/>
    <row r="74" spans="1:3" ht="7.5" customHeight="1" x14ac:dyDescent="0.25">
      <c r="A74" s="45" t="s">
        <v>31</v>
      </c>
      <c r="B74" s="194" t="s">
        <v>107</v>
      </c>
      <c r="C74" s="194"/>
    </row>
    <row r="75" spans="1:3" ht="30" customHeight="1" x14ac:dyDescent="0.25">
      <c r="B75" s="193"/>
      <c r="C75" s="193"/>
    </row>
    <row r="76" spans="1:3" ht="15" customHeight="1" x14ac:dyDescent="0.25"/>
  </sheetData>
  <mergeCells count="53">
    <mergeCell ref="B51:C51"/>
    <mergeCell ref="B54:C54"/>
    <mergeCell ref="B55:C55"/>
    <mergeCell ref="B75:C75"/>
    <mergeCell ref="B42:C42"/>
    <mergeCell ref="B43:C43"/>
    <mergeCell ref="B45:C45"/>
    <mergeCell ref="B46:C46"/>
    <mergeCell ref="B53:C53"/>
    <mergeCell ref="B74:C74"/>
    <mergeCell ref="B68:C68"/>
    <mergeCell ref="B69:C69"/>
    <mergeCell ref="B71:C71"/>
    <mergeCell ref="B72:C72"/>
    <mergeCell ref="B66:C66"/>
    <mergeCell ref="B67:C67"/>
    <mergeCell ref="B62:C62"/>
    <mergeCell ref="B63:C63"/>
    <mergeCell ref="B64:C64"/>
    <mergeCell ref="B65:C65"/>
    <mergeCell ref="B61:C61"/>
    <mergeCell ref="B31:C31"/>
    <mergeCell ref="B57:C57"/>
    <mergeCell ref="B58:C58"/>
    <mergeCell ref="B59:C59"/>
    <mergeCell ref="B60:C60"/>
    <mergeCell ref="B33:C33"/>
    <mergeCell ref="B39:C39"/>
    <mergeCell ref="B34:C34"/>
    <mergeCell ref="B35:C35"/>
    <mergeCell ref="B36:C36"/>
    <mergeCell ref="B37:C37"/>
    <mergeCell ref="B38:C38"/>
    <mergeCell ref="B40:C40"/>
    <mergeCell ref="B48:C48"/>
    <mergeCell ref="B49:C49"/>
    <mergeCell ref="B50:C50"/>
    <mergeCell ref="B24:C24"/>
    <mergeCell ref="B26:C26"/>
    <mergeCell ref="B27:C27"/>
    <mergeCell ref="B29:C29"/>
    <mergeCell ref="B30:C30"/>
    <mergeCell ref="B11:C11"/>
    <mergeCell ref="B16:C16"/>
    <mergeCell ref="B17:C17"/>
    <mergeCell ref="B19:C19"/>
    <mergeCell ref="B20:B23"/>
    <mergeCell ref="B8:B9"/>
    <mergeCell ref="B10:C10"/>
    <mergeCell ref="B2:C2"/>
    <mergeCell ref="B3:C3"/>
    <mergeCell ref="B5:C5"/>
    <mergeCell ref="B6:B7"/>
  </mergeCells>
  <pageMargins left="0.7" right="0.7" top="0.75" bottom="0.75" header="0.3" footer="0.3"/>
  <pageSetup paperSize="9" orientation="landscape" r:id="rId1"/>
  <rowBreaks count="4" manualBreakCount="4">
    <brk id="15" max="16383" man="1"/>
    <brk id="32" max="16383" man="1"/>
    <brk id="47" max="16383" man="1"/>
    <brk id="5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9"/>
  <sheetViews>
    <sheetView workbookViewId="0">
      <selection activeCell="K3" sqref="K3"/>
    </sheetView>
  </sheetViews>
  <sheetFormatPr defaultRowHeight="15" x14ac:dyDescent="0.25"/>
  <cols>
    <col min="1" max="1" width="38.85546875" bestFit="1" customWidth="1"/>
    <col min="2" max="2" width="8.42578125" bestFit="1" customWidth="1"/>
    <col min="3" max="3" width="9.42578125" bestFit="1" customWidth="1"/>
    <col min="4" max="4" width="12.28515625" bestFit="1" customWidth="1"/>
    <col min="5" max="5" width="9.7109375" bestFit="1" customWidth="1"/>
    <col min="6" max="6" width="13.28515625" bestFit="1" customWidth="1"/>
    <col min="7" max="7" width="2.85546875" customWidth="1"/>
    <col min="8" max="8" width="20.140625" bestFit="1" customWidth="1"/>
    <col min="9" max="9" width="2.85546875" customWidth="1"/>
    <col min="10" max="11" width="10.7109375" customWidth="1"/>
  </cols>
  <sheetData>
    <row r="1" spans="1:11" x14ac:dyDescent="0.25">
      <c r="B1" t="s">
        <v>0</v>
      </c>
      <c r="C1" t="s">
        <v>1</v>
      </c>
      <c r="D1" t="s">
        <v>2</v>
      </c>
      <c r="E1" t="s">
        <v>3</v>
      </c>
      <c r="F1" t="s">
        <v>4</v>
      </c>
      <c r="H1" t="s">
        <v>243</v>
      </c>
      <c r="J1" s="196" t="s">
        <v>294</v>
      </c>
      <c r="K1" s="196"/>
    </row>
    <row r="2" spans="1:11" x14ac:dyDescent="0.25">
      <c r="A2" t="s">
        <v>5</v>
      </c>
      <c r="B2">
        <v>9000</v>
      </c>
      <c r="C2">
        <v>4121</v>
      </c>
      <c r="D2" t="str">
        <f>LEFT(E2,4)</f>
        <v>2016</v>
      </c>
      <c r="E2" t="s">
        <v>6</v>
      </c>
      <c r="F2">
        <v>1.0129999999999999</v>
      </c>
      <c r="H2" t="s">
        <v>244</v>
      </c>
      <c r="J2" s="93" t="s">
        <v>399</v>
      </c>
      <c r="K2" t="s">
        <v>400</v>
      </c>
    </row>
    <row r="3" spans="1:11" x14ac:dyDescent="0.25">
      <c r="A3" t="s">
        <v>7</v>
      </c>
      <c r="B3">
        <v>1800</v>
      </c>
      <c r="H3" t="s">
        <v>245</v>
      </c>
      <c r="J3" s="92" t="s">
        <v>295</v>
      </c>
      <c r="K3">
        <v>4</v>
      </c>
    </row>
    <row r="4" spans="1:11" x14ac:dyDescent="0.25">
      <c r="A4" t="s">
        <v>8</v>
      </c>
      <c r="B4">
        <v>1350</v>
      </c>
      <c r="H4" t="s">
        <v>246</v>
      </c>
      <c r="J4" s="92" t="s">
        <v>296</v>
      </c>
      <c r="K4" s="92">
        <v>6</v>
      </c>
    </row>
    <row r="5" spans="1:11" x14ac:dyDescent="0.25">
      <c r="A5" t="s">
        <v>9</v>
      </c>
      <c r="B5">
        <v>3465</v>
      </c>
      <c r="H5" t="s">
        <v>247</v>
      </c>
      <c r="J5" s="92" t="s">
        <v>297</v>
      </c>
      <c r="K5" s="92">
        <v>4</v>
      </c>
    </row>
    <row r="6" spans="1:11" x14ac:dyDescent="0.25">
      <c r="A6" t="s">
        <v>10</v>
      </c>
      <c r="B6">
        <v>1725</v>
      </c>
      <c r="H6" t="s">
        <v>248</v>
      </c>
      <c r="J6" s="92" t="s">
        <v>298</v>
      </c>
      <c r="K6" s="92">
        <v>5</v>
      </c>
    </row>
    <row r="7" spans="1:11" x14ac:dyDescent="0.25">
      <c r="A7" t="s">
        <v>11</v>
      </c>
      <c r="B7">
        <v>1380</v>
      </c>
      <c r="H7" t="s">
        <v>249</v>
      </c>
      <c r="J7" s="92" t="s">
        <v>299</v>
      </c>
      <c r="K7" s="92">
        <v>1</v>
      </c>
    </row>
    <row r="8" spans="1:11" x14ac:dyDescent="0.25">
      <c r="A8" t="s">
        <v>12</v>
      </c>
      <c r="B8">
        <v>680</v>
      </c>
      <c r="H8" t="s">
        <v>250</v>
      </c>
      <c r="J8" s="92" t="s">
        <v>300</v>
      </c>
      <c r="K8" s="92">
        <v>1</v>
      </c>
    </row>
    <row r="9" spans="1:11" x14ac:dyDescent="0.25">
      <c r="H9" t="s">
        <v>251</v>
      </c>
      <c r="J9" s="92" t="s">
        <v>301</v>
      </c>
      <c r="K9" s="92">
        <v>1</v>
      </c>
    </row>
    <row r="10" spans="1:11" x14ac:dyDescent="0.25">
      <c r="H10" t="s">
        <v>252</v>
      </c>
      <c r="J10" s="92" t="s">
        <v>302</v>
      </c>
      <c r="K10" s="92">
        <v>1</v>
      </c>
    </row>
    <row r="11" spans="1:11" x14ac:dyDescent="0.25">
      <c r="H11" t="s">
        <v>253</v>
      </c>
      <c r="J11" s="92" t="s">
        <v>303</v>
      </c>
      <c r="K11" s="92">
        <v>1</v>
      </c>
    </row>
    <row r="12" spans="1:11" x14ac:dyDescent="0.25">
      <c r="H12" t="s">
        <v>254</v>
      </c>
      <c r="J12" s="92" t="s">
        <v>304</v>
      </c>
      <c r="K12" s="92">
        <v>1</v>
      </c>
    </row>
    <row r="13" spans="1:11" x14ac:dyDescent="0.25">
      <c r="H13" t="s">
        <v>255</v>
      </c>
      <c r="J13" s="92" t="s">
        <v>305</v>
      </c>
      <c r="K13" s="92">
        <v>1</v>
      </c>
    </row>
    <row r="14" spans="1:11" x14ac:dyDescent="0.25">
      <c r="H14" t="s">
        <v>256</v>
      </c>
      <c r="J14" s="92" t="s">
        <v>306</v>
      </c>
      <c r="K14" s="92">
        <v>1</v>
      </c>
    </row>
    <row r="15" spans="1:11" x14ac:dyDescent="0.25">
      <c r="H15" t="s">
        <v>257</v>
      </c>
      <c r="J15" s="92" t="s">
        <v>307</v>
      </c>
      <c r="K15" s="92">
        <v>1</v>
      </c>
    </row>
    <row r="16" spans="1:11" x14ac:dyDescent="0.25">
      <c r="H16" t="s">
        <v>258</v>
      </c>
      <c r="J16" s="92" t="s">
        <v>308</v>
      </c>
      <c r="K16" s="92">
        <v>1</v>
      </c>
    </row>
    <row r="17" spans="8:11" x14ac:dyDescent="0.25">
      <c r="H17" t="s">
        <v>259</v>
      </c>
      <c r="J17" s="92" t="s">
        <v>309</v>
      </c>
      <c r="K17" s="92">
        <v>1</v>
      </c>
    </row>
    <row r="18" spans="8:11" x14ac:dyDescent="0.25">
      <c r="H18" t="s">
        <v>260</v>
      </c>
      <c r="J18" s="92" t="s">
        <v>310</v>
      </c>
      <c r="K18" s="92">
        <v>1</v>
      </c>
    </row>
    <row r="19" spans="8:11" x14ac:dyDescent="0.25">
      <c r="H19" t="s">
        <v>261</v>
      </c>
      <c r="J19" s="92" t="s">
        <v>311</v>
      </c>
      <c r="K19" s="92">
        <v>1</v>
      </c>
    </row>
    <row r="20" spans="8:11" x14ac:dyDescent="0.25">
      <c r="H20" t="s">
        <v>262</v>
      </c>
      <c r="J20" s="92" t="s">
        <v>312</v>
      </c>
      <c r="K20" s="92">
        <v>1</v>
      </c>
    </row>
    <row r="21" spans="8:11" x14ac:dyDescent="0.25">
      <c r="H21" t="s">
        <v>263</v>
      </c>
      <c r="J21" s="92" t="s">
        <v>313</v>
      </c>
      <c r="K21" s="92">
        <v>5</v>
      </c>
    </row>
    <row r="22" spans="8:11" x14ac:dyDescent="0.25">
      <c r="H22" t="s">
        <v>264</v>
      </c>
      <c r="J22" s="92" t="s">
        <v>314</v>
      </c>
      <c r="K22" s="92">
        <v>3</v>
      </c>
    </row>
    <row r="23" spans="8:11" x14ac:dyDescent="0.25">
      <c r="H23" t="s">
        <v>265</v>
      </c>
      <c r="J23" s="92" t="s">
        <v>315</v>
      </c>
      <c r="K23" s="92">
        <v>4</v>
      </c>
    </row>
    <row r="24" spans="8:11" x14ac:dyDescent="0.25">
      <c r="H24" t="s">
        <v>266</v>
      </c>
      <c r="J24" s="92" t="s">
        <v>316</v>
      </c>
      <c r="K24" s="92">
        <v>3</v>
      </c>
    </row>
    <row r="25" spans="8:11" x14ac:dyDescent="0.25">
      <c r="H25" t="s">
        <v>267</v>
      </c>
      <c r="J25" s="92" t="s">
        <v>317</v>
      </c>
      <c r="K25" s="92">
        <v>4</v>
      </c>
    </row>
    <row r="26" spans="8:11" x14ac:dyDescent="0.25">
      <c r="H26" t="s">
        <v>268</v>
      </c>
      <c r="J26" s="92" t="s">
        <v>318</v>
      </c>
      <c r="K26" s="92">
        <v>4</v>
      </c>
    </row>
    <row r="27" spans="8:11" x14ac:dyDescent="0.25">
      <c r="H27" t="s">
        <v>269</v>
      </c>
      <c r="J27" s="92" t="s">
        <v>319</v>
      </c>
      <c r="K27" s="92">
        <v>3</v>
      </c>
    </row>
    <row r="28" spans="8:11" x14ac:dyDescent="0.25">
      <c r="H28" t="s">
        <v>270</v>
      </c>
      <c r="J28" s="92" t="s">
        <v>320</v>
      </c>
      <c r="K28" s="92">
        <v>4</v>
      </c>
    </row>
    <row r="29" spans="8:11" x14ac:dyDescent="0.25">
      <c r="H29" t="s">
        <v>271</v>
      </c>
      <c r="J29" s="92" t="s">
        <v>246</v>
      </c>
      <c r="K29" s="92">
        <v>4</v>
      </c>
    </row>
    <row r="30" spans="8:11" x14ac:dyDescent="0.25">
      <c r="H30" t="s">
        <v>272</v>
      </c>
      <c r="J30" s="92" t="s">
        <v>247</v>
      </c>
      <c r="K30" s="92">
        <v>5</v>
      </c>
    </row>
    <row r="31" spans="8:11" x14ac:dyDescent="0.25">
      <c r="H31" t="s">
        <v>273</v>
      </c>
      <c r="J31" s="92" t="s">
        <v>321</v>
      </c>
      <c r="K31" s="92">
        <v>4</v>
      </c>
    </row>
    <row r="32" spans="8:11" x14ac:dyDescent="0.25">
      <c r="H32" t="s">
        <v>274</v>
      </c>
      <c r="J32" s="92" t="s">
        <v>322</v>
      </c>
      <c r="K32" s="92">
        <v>3</v>
      </c>
    </row>
    <row r="33" spans="8:11" x14ac:dyDescent="0.25">
      <c r="H33" t="s">
        <v>275</v>
      </c>
      <c r="J33" s="92" t="s">
        <v>322</v>
      </c>
      <c r="K33" s="92">
        <v>3</v>
      </c>
    </row>
    <row r="34" spans="8:11" x14ac:dyDescent="0.25">
      <c r="H34" t="s">
        <v>276</v>
      </c>
      <c r="J34" s="92" t="s">
        <v>267</v>
      </c>
      <c r="K34" s="92">
        <v>4</v>
      </c>
    </row>
    <row r="35" spans="8:11" x14ac:dyDescent="0.25">
      <c r="H35" t="s">
        <v>277</v>
      </c>
      <c r="J35" s="92" t="s">
        <v>267</v>
      </c>
      <c r="K35" s="92">
        <v>4</v>
      </c>
    </row>
    <row r="36" spans="8:11" x14ac:dyDescent="0.25">
      <c r="H36" t="s">
        <v>278</v>
      </c>
      <c r="J36" s="92" t="s">
        <v>267</v>
      </c>
      <c r="K36" s="92">
        <v>4</v>
      </c>
    </row>
    <row r="37" spans="8:11" x14ac:dyDescent="0.25">
      <c r="H37" t="s">
        <v>279</v>
      </c>
      <c r="J37" s="92" t="s">
        <v>268</v>
      </c>
      <c r="K37" s="92">
        <v>4</v>
      </c>
    </row>
    <row r="38" spans="8:11" x14ac:dyDescent="0.25">
      <c r="H38" t="s">
        <v>280</v>
      </c>
      <c r="J38" s="92" t="s">
        <v>268</v>
      </c>
      <c r="K38" s="92">
        <v>4</v>
      </c>
    </row>
    <row r="39" spans="8:11" x14ac:dyDescent="0.25">
      <c r="H39" t="s">
        <v>281</v>
      </c>
      <c r="J39" s="92" t="s">
        <v>323</v>
      </c>
      <c r="K39" s="92">
        <v>3</v>
      </c>
    </row>
    <row r="40" spans="8:11" x14ac:dyDescent="0.25">
      <c r="H40" t="s">
        <v>282</v>
      </c>
      <c r="J40" s="92" t="s">
        <v>324</v>
      </c>
      <c r="K40" s="92">
        <v>3</v>
      </c>
    </row>
    <row r="41" spans="8:11" x14ac:dyDescent="0.25">
      <c r="H41" t="s">
        <v>283</v>
      </c>
      <c r="J41" s="92" t="s">
        <v>324</v>
      </c>
      <c r="K41" s="92">
        <v>3</v>
      </c>
    </row>
    <row r="42" spans="8:11" x14ac:dyDescent="0.25">
      <c r="H42" t="s">
        <v>284</v>
      </c>
      <c r="J42" s="92" t="s">
        <v>269</v>
      </c>
      <c r="K42" s="92">
        <v>5</v>
      </c>
    </row>
    <row r="43" spans="8:11" x14ac:dyDescent="0.25">
      <c r="H43" t="s">
        <v>285</v>
      </c>
      <c r="J43" s="92" t="s">
        <v>269</v>
      </c>
      <c r="K43" s="92">
        <v>5</v>
      </c>
    </row>
    <row r="44" spans="8:11" x14ac:dyDescent="0.25">
      <c r="H44" t="s">
        <v>286</v>
      </c>
      <c r="J44" s="92" t="s">
        <v>270</v>
      </c>
      <c r="K44" s="92">
        <v>4</v>
      </c>
    </row>
    <row r="45" spans="8:11" x14ac:dyDescent="0.25">
      <c r="H45" t="s">
        <v>287</v>
      </c>
      <c r="J45" s="92" t="s">
        <v>270</v>
      </c>
      <c r="K45" s="92">
        <v>4</v>
      </c>
    </row>
    <row r="46" spans="8:11" x14ac:dyDescent="0.25">
      <c r="H46" t="s">
        <v>288</v>
      </c>
      <c r="J46" s="92" t="s">
        <v>325</v>
      </c>
      <c r="K46" s="92">
        <v>4</v>
      </c>
    </row>
    <row r="47" spans="8:11" x14ac:dyDescent="0.25">
      <c r="H47" t="s">
        <v>289</v>
      </c>
      <c r="J47" s="92" t="s">
        <v>325</v>
      </c>
      <c r="K47" s="92">
        <v>4</v>
      </c>
    </row>
    <row r="48" spans="8:11" x14ac:dyDescent="0.25">
      <c r="J48" s="92" t="s">
        <v>271</v>
      </c>
      <c r="K48" s="92">
        <v>4</v>
      </c>
    </row>
    <row r="49" spans="10:11" x14ac:dyDescent="0.25">
      <c r="J49" s="92" t="s">
        <v>271</v>
      </c>
      <c r="K49" s="92">
        <v>4</v>
      </c>
    </row>
    <row r="50" spans="10:11" x14ac:dyDescent="0.25">
      <c r="J50" s="92" t="s">
        <v>272</v>
      </c>
      <c r="K50" s="92">
        <v>4</v>
      </c>
    </row>
    <row r="51" spans="10:11" x14ac:dyDescent="0.25">
      <c r="J51" s="92" t="s">
        <v>272</v>
      </c>
      <c r="K51" s="92">
        <v>4</v>
      </c>
    </row>
    <row r="52" spans="10:11" x14ac:dyDescent="0.25">
      <c r="J52" s="92" t="s">
        <v>273</v>
      </c>
      <c r="K52" s="92">
        <v>4</v>
      </c>
    </row>
    <row r="53" spans="10:11" x14ac:dyDescent="0.25">
      <c r="J53" s="92" t="s">
        <v>273</v>
      </c>
      <c r="K53" s="92">
        <v>4</v>
      </c>
    </row>
    <row r="54" spans="10:11" x14ac:dyDescent="0.25">
      <c r="J54" s="92" t="s">
        <v>326</v>
      </c>
      <c r="K54" s="92">
        <v>3</v>
      </c>
    </row>
    <row r="55" spans="10:11" x14ac:dyDescent="0.25">
      <c r="J55" s="92" t="s">
        <v>327</v>
      </c>
      <c r="K55" s="92">
        <v>3</v>
      </c>
    </row>
    <row r="56" spans="10:11" x14ac:dyDescent="0.25">
      <c r="J56" s="92" t="s">
        <v>328</v>
      </c>
      <c r="K56" s="92">
        <v>3</v>
      </c>
    </row>
    <row r="57" spans="10:11" x14ac:dyDescent="0.25">
      <c r="J57" s="92" t="s">
        <v>274</v>
      </c>
      <c r="K57" s="92">
        <v>4</v>
      </c>
    </row>
    <row r="58" spans="10:11" x14ac:dyDescent="0.25">
      <c r="J58" s="92" t="s">
        <v>275</v>
      </c>
      <c r="K58" s="92">
        <v>4</v>
      </c>
    </row>
    <row r="59" spans="10:11" x14ac:dyDescent="0.25">
      <c r="J59" s="92" t="s">
        <v>329</v>
      </c>
      <c r="K59" s="92">
        <v>3</v>
      </c>
    </row>
    <row r="60" spans="10:11" x14ac:dyDescent="0.25">
      <c r="J60" s="92" t="s">
        <v>276</v>
      </c>
      <c r="K60" s="92">
        <v>5</v>
      </c>
    </row>
    <row r="61" spans="10:11" x14ac:dyDescent="0.25">
      <c r="J61" s="92" t="s">
        <v>277</v>
      </c>
      <c r="K61" s="92">
        <v>4</v>
      </c>
    </row>
    <row r="62" spans="10:11" x14ac:dyDescent="0.25">
      <c r="J62" s="92" t="s">
        <v>330</v>
      </c>
      <c r="K62" s="92">
        <v>4</v>
      </c>
    </row>
    <row r="63" spans="10:11" x14ac:dyDescent="0.25">
      <c r="J63" s="92" t="s">
        <v>278</v>
      </c>
      <c r="K63" s="92">
        <v>4</v>
      </c>
    </row>
    <row r="64" spans="10:11" x14ac:dyDescent="0.25">
      <c r="J64" s="92" t="s">
        <v>279</v>
      </c>
      <c r="K64" s="92">
        <v>4</v>
      </c>
    </row>
    <row r="65" spans="10:11" x14ac:dyDescent="0.25">
      <c r="J65" s="92" t="s">
        <v>280</v>
      </c>
      <c r="K65" s="92">
        <v>4</v>
      </c>
    </row>
    <row r="66" spans="10:11" x14ac:dyDescent="0.25">
      <c r="J66" s="92" t="s">
        <v>331</v>
      </c>
      <c r="K66" s="92">
        <v>3</v>
      </c>
    </row>
    <row r="67" spans="10:11" x14ac:dyDescent="0.25">
      <c r="J67" s="92" t="s">
        <v>258</v>
      </c>
      <c r="K67" s="92">
        <v>5</v>
      </c>
    </row>
    <row r="68" spans="10:11" x14ac:dyDescent="0.25">
      <c r="J68" s="92" t="s">
        <v>332</v>
      </c>
      <c r="K68" s="92">
        <v>4</v>
      </c>
    </row>
    <row r="69" spans="10:11" x14ac:dyDescent="0.25">
      <c r="J69" s="92" t="s">
        <v>259</v>
      </c>
      <c r="K69" s="92">
        <v>4</v>
      </c>
    </row>
    <row r="70" spans="10:11" x14ac:dyDescent="0.25">
      <c r="J70" s="92" t="s">
        <v>260</v>
      </c>
      <c r="K70" s="92">
        <v>5</v>
      </c>
    </row>
    <row r="71" spans="10:11" x14ac:dyDescent="0.25">
      <c r="J71" s="92" t="s">
        <v>333</v>
      </c>
      <c r="K71" s="92">
        <v>4</v>
      </c>
    </row>
    <row r="72" spans="10:11" x14ac:dyDescent="0.25">
      <c r="J72" s="92" t="s">
        <v>261</v>
      </c>
      <c r="K72" s="92">
        <v>5</v>
      </c>
    </row>
    <row r="73" spans="10:11" x14ac:dyDescent="0.25">
      <c r="J73" s="92" t="s">
        <v>334</v>
      </c>
      <c r="K73" s="92">
        <v>4</v>
      </c>
    </row>
    <row r="74" spans="10:11" x14ac:dyDescent="0.25">
      <c r="J74" s="92" t="s">
        <v>262</v>
      </c>
      <c r="K74" s="92">
        <v>5</v>
      </c>
    </row>
    <row r="75" spans="10:11" x14ac:dyDescent="0.25">
      <c r="J75" s="92" t="s">
        <v>335</v>
      </c>
      <c r="K75" s="92">
        <v>3</v>
      </c>
    </row>
    <row r="76" spans="10:11" x14ac:dyDescent="0.25">
      <c r="J76" s="92" t="s">
        <v>335</v>
      </c>
      <c r="K76" s="92">
        <v>3</v>
      </c>
    </row>
    <row r="77" spans="10:11" x14ac:dyDescent="0.25">
      <c r="J77" s="92" t="s">
        <v>336</v>
      </c>
      <c r="K77" s="92">
        <v>4</v>
      </c>
    </row>
    <row r="78" spans="10:11" x14ac:dyDescent="0.25">
      <c r="J78" s="92" t="s">
        <v>263</v>
      </c>
      <c r="K78" s="92">
        <v>4</v>
      </c>
    </row>
    <row r="79" spans="10:11" x14ac:dyDescent="0.25">
      <c r="J79" s="92" t="s">
        <v>264</v>
      </c>
      <c r="K79" s="92">
        <v>4</v>
      </c>
    </row>
    <row r="80" spans="10:11" x14ac:dyDescent="0.25">
      <c r="J80" s="92" t="s">
        <v>265</v>
      </c>
      <c r="K80" s="92">
        <v>4</v>
      </c>
    </row>
    <row r="81" spans="10:11" x14ac:dyDescent="0.25">
      <c r="J81" s="92" t="s">
        <v>337</v>
      </c>
      <c r="K81" s="92">
        <v>5</v>
      </c>
    </row>
    <row r="82" spans="10:11" x14ac:dyDescent="0.25">
      <c r="J82" s="92" t="s">
        <v>338</v>
      </c>
      <c r="K82" s="92">
        <v>3</v>
      </c>
    </row>
    <row r="83" spans="10:11" x14ac:dyDescent="0.25">
      <c r="J83" s="92" t="s">
        <v>339</v>
      </c>
      <c r="K83" s="92">
        <v>4</v>
      </c>
    </row>
    <row r="84" spans="10:11" x14ac:dyDescent="0.25">
      <c r="J84" s="92" t="s">
        <v>289</v>
      </c>
      <c r="K84" s="92">
        <v>4</v>
      </c>
    </row>
    <row r="85" spans="10:11" x14ac:dyDescent="0.25">
      <c r="J85" s="92" t="s">
        <v>340</v>
      </c>
      <c r="K85" s="92">
        <v>3</v>
      </c>
    </row>
    <row r="86" spans="10:11" x14ac:dyDescent="0.25">
      <c r="J86" s="92" t="s">
        <v>341</v>
      </c>
      <c r="K86" s="92">
        <v>4</v>
      </c>
    </row>
    <row r="87" spans="10:11" x14ac:dyDescent="0.25">
      <c r="J87" s="92" t="s">
        <v>342</v>
      </c>
      <c r="K87" s="92">
        <v>4</v>
      </c>
    </row>
    <row r="88" spans="10:11" x14ac:dyDescent="0.25">
      <c r="J88" s="92" t="s">
        <v>343</v>
      </c>
      <c r="K88" s="92">
        <v>3</v>
      </c>
    </row>
    <row r="89" spans="10:11" x14ac:dyDescent="0.25">
      <c r="J89" s="92" t="s">
        <v>344</v>
      </c>
      <c r="K89" s="92">
        <v>4</v>
      </c>
    </row>
    <row r="90" spans="10:11" x14ac:dyDescent="0.25">
      <c r="J90" s="92" t="s">
        <v>345</v>
      </c>
      <c r="K90" s="92">
        <v>3</v>
      </c>
    </row>
    <row r="91" spans="10:11" x14ac:dyDescent="0.25">
      <c r="J91" s="92" t="s">
        <v>250</v>
      </c>
      <c r="K91" s="92">
        <v>4</v>
      </c>
    </row>
    <row r="92" spans="10:11" x14ac:dyDescent="0.25">
      <c r="J92" s="92" t="s">
        <v>346</v>
      </c>
      <c r="K92" s="92">
        <v>4</v>
      </c>
    </row>
    <row r="93" spans="10:11" x14ac:dyDescent="0.25">
      <c r="J93" s="92" t="s">
        <v>347</v>
      </c>
      <c r="K93" s="92">
        <v>4</v>
      </c>
    </row>
    <row r="94" spans="10:11" x14ac:dyDescent="0.25">
      <c r="J94" s="92" t="s">
        <v>348</v>
      </c>
      <c r="K94" s="92">
        <v>3</v>
      </c>
    </row>
    <row r="95" spans="10:11" x14ac:dyDescent="0.25">
      <c r="J95" s="92" t="s">
        <v>349</v>
      </c>
      <c r="K95" s="92">
        <v>4</v>
      </c>
    </row>
    <row r="96" spans="10:11" x14ac:dyDescent="0.25">
      <c r="J96" s="92" t="s">
        <v>350</v>
      </c>
      <c r="K96" s="92">
        <v>4</v>
      </c>
    </row>
    <row r="97" spans="10:11" x14ac:dyDescent="0.25">
      <c r="J97" s="92" t="s">
        <v>351</v>
      </c>
      <c r="K97" s="92">
        <v>4</v>
      </c>
    </row>
    <row r="98" spans="10:11" x14ac:dyDescent="0.25">
      <c r="J98" s="92" t="s">
        <v>352</v>
      </c>
      <c r="K98" s="92">
        <v>3</v>
      </c>
    </row>
    <row r="99" spans="10:11" x14ac:dyDescent="0.25">
      <c r="J99" s="92" t="s">
        <v>353</v>
      </c>
      <c r="K99" s="92">
        <v>4</v>
      </c>
    </row>
    <row r="100" spans="10:11" x14ac:dyDescent="0.25">
      <c r="J100" s="92" t="s">
        <v>251</v>
      </c>
      <c r="K100" s="92">
        <v>4</v>
      </c>
    </row>
    <row r="101" spans="10:11" x14ac:dyDescent="0.25">
      <c r="J101" s="92" t="s">
        <v>266</v>
      </c>
      <c r="K101" s="92">
        <v>5</v>
      </c>
    </row>
    <row r="102" spans="10:11" x14ac:dyDescent="0.25">
      <c r="J102" s="92" t="s">
        <v>354</v>
      </c>
      <c r="K102" s="92">
        <v>3</v>
      </c>
    </row>
    <row r="103" spans="10:11" x14ac:dyDescent="0.25">
      <c r="J103" s="92" t="s">
        <v>287</v>
      </c>
      <c r="K103" s="92">
        <v>4</v>
      </c>
    </row>
    <row r="104" spans="10:11" x14ac:dyDescent="0.25">
      <c r="J104" s="92" t="s">
        <v>355</v>
      </c>
      <c r="K104" s="92">
        <v>3</v>
      </c>
    </row>
    <row r="105" spans="10:11" x14ac:dyDescent="0.25">
      <c r="J105" s="92" t="s">
        <v>356</v>
      </c>
      <c r="K105" s="92">
        <v>4</v>
      </c>
    </row>
    <row r="106" spans="10:11" x14ac:dyDescent="0.25">
      <c r="J106" s="92" t="s">
        <v>288</v>
      </c>
      <c r="K106" s="92">
        <v>4</v>
      </c>
    </row>
    <row r="107" spans="10:11" x14ac:dyDescent="0.25">
      <c r="J107" s="92" t="s">
        <v>357</v>
      </c>
      <c r="K107" s="92">
        <v>3</v>
      </c>
    </row>
    <row r="108" spans="10:11" x14ac:dyDescent="0.25">
      <c r="J108" s="92" t="s">
        <v>358</v>
      </c>
      <c r="K108" s="92">
        <v>3</v>
      </c>
    </row>
    <row r="109" spans="10:11" x14ac:dyDescent="0.25">
      <c r="J109" s="92" t="s">
        <v>359</v>
      </c>
      <c r="K109" s="92">
        <v>4</v>
      </c>
    </row>
    <row r="110" spans="10:11" x14ac:dyDescent="0.25">
      <c r="J110" s="92" t="s">
        <v>360</v>
      </c>
      <c r="K110" s="92">
        <v>3</v>
      </c>
    </row>
    <row r="111" spans="10:11" x14ac:dyDescent="0.25">
      <c r="J111" s="92" t="s">
        <v>361</v>
      </c>
      <c r="K111" s="92">
        <v>3</v>
      </c>
    </row>
    <row r="112" spans="10:11" x14ac:dyDescent="0.25">
      <c r="J112" s="92" t="s">
        <v>362</v>
      </c>
      <c r="K112" s="92">
        <v>3</v>
      </c>
    </row>
    <row r="113" spans="10:11" x14ac:dyDescent="0.25">
      <c r="J113" s="92" t="s">
        <v>363</v>
      </c>
      <c r="K113" s="92">
        <v>3</v>
      </c>
    </row>
    <row r="114" spans="10:11" x14ac:dyDescent="0.25">
      <c r="J114" s="92" t="s">
        <v>364</v>
      </c>
      <c r="K114" s="92">
        <v>4</v>
      </c>
    </row>
    <row r="115" spans="10:11" x14ac:dyDescent="0.25">
      <c r="J115" s="92" t="s">
        <v>365</v>
      </c>
      <c r="K115" s="92">
        <v>4</v>
      </c>
    </row>
    <row r="116" spans="10:11" x14ac:dyDescent="0.25">
      <c r="J116" s="92" t="s">
        <v>366</v>
      </c>
      <c r="K116" s="92">
        <v>4</v>
      </c>
    </row>
    <row r="117" spans="10:11" x14ac:dyDescent="0.25">
      <c r="J117" s="92" t="s">
        <v>367</v>
      </c>
      <c r="K117" s="92">
        <v>4</v>
      </c>
    </row>
    <row r="118" spans="10:11" x14ac:dyDescent="0.25">
      <c r="J118" s="92" t="s">
        <v>368</v>
      </c>
      <c r="K118" s="92">
        <v>4</v>
      </c>
    </row>
    <row r="119" spans="10:11" x14ac:dyDescent="0.25">
      <c r="J119" s="92" t="s">
        <v>369</v>
      </c>
      <c r="K119" s="92">
        <v>4</v>
      </c>
    </row>
    <row r="120" spans="10:11" x14ac:dyDescent="0.25">
      <c r="J120" s="92" t="s">
        <v>370</v>
      </c>
      <c r="K120" s="92">
        <v>3</v>
      </c>
    </row>
    <row r="121" spans="10:11" x14ac:dyDescent="0.25">
      <c r="J121" s="92" t="s">
        <v>370</v>
      </c>
      <c r="K121" s="92">
        <v>3</v>
      </c>
    </row>
    <row r="122" spans="10:11" x14ac:dyDescent="0.25">
      <c r="J122" s="92" t="s">
        <v>371</v>
      </c>
      <c r="K122" s="92">
        <v>3</v>
      </c>
    </row>
    <row r="123" spans="10:11" x14ac:dyDescent="0.25">
      <c r="J123" s="92" t="s">
        <v>372</v>
      </c>
      <c r="K123" s="92">
        <v>4</v>
      </c>
    </row>
    <row r="124" spans="10:11" x14ac:dyDescent="0.25">
      <c r="J124" s="92" t="s">
        <v>372</v>
      </c>
      <c r="K124" s="92">
        <v>4</v>
      </c>
    </row>
    <row r="125" spans="10:11" x14ac:dyDescent="0.25">
      <c r="J125" s="92" t="s">
        <v>373</v>
      </c>
      <c r="K125" s="92">
        <v>4</v>
      </c>
    </row>
    <row r="126" spans="10:11" x14ac:dyDescent="0.25">
      <c r="J126" s="92" t="s">
        <v>374</v>
      </c>
      <c r="K126" s="92">
        <v>4</v>
      </c>
    </row>
    <row r="127" spans="10:11" x14ac:dyDescent="0.25">
      <c r="J127" s="92" t="s">
        <v>374</v>
      </c>
      <c r="K127" s="92">
        <v>4</v>
      </c>
    </row>
    <row r="128" spans="10:11" x14ac:dyDescent="0.25">
      <c r="J128" s="92" t="s">
        <v>375</v>
      </c>
      <c r="K128" s="92">
        <v>4</v>
      </c>
    </row>
    <row r="129" spans="10:11" x14ac:dyDescent="0.25">
      <c r="J129" s="92" t="s">
        <v>376</v>
      </c>
      <c r="K129" s="92">
        <v>4</v>
      </c>
    </row>
    <row r="130" spans="10:11" x14ac:dyDescent="0.25">
      <c r="J130" s="92" t="s">
        <v>377</v>
      </c>
      <c r="K130" s="92">
        <v>3</v>
      </c>
    </row>
    <row r="131" spans="10:11" x14ac:dyDescent="0.25">
      <c r="J131" s="92" t="s">
        <v>378</v>
      </c>
      <c r="K131" s="92">
        <v>4</v>
      </c>
    </row>
    <row r="132" spans="10:11" x14ac:dyDescent="0.25">
      <c r="J132" s="92" t="s">
        <v>249</v>
      </c>
      <c r="K132" s="92">
        <v>4</v>
      </c>
    </row>
    <row r="133" spans="10:11" x14ac:dyDescent="0.25">
      <c r="J133" s="92" t="s">
        <v>379</v>
      </c>
      <c r="K133" s="92">
        <v>3</v>
      </c>
    </row>
    <row r="134" spans="10:11" x14ac:dyDescent="0.25">
      <c r="J134" s="92" t="s">
        <v>380</v>
      </c>
      <c r="K134" s="92">
        <v>4</v>
      </c>
    </row>
    <row r="135" spans="10:11" x14ac:dyDescent="0.25">
      <c r="J135" s="92" t="s">
        <v>254</v>
      </c>
      <c r="K135" s="92">
        <v>5</v>
      </c>
    </row>
    <row r="136" spans="10:11" x14ac:dyDescent="0.25">
      <c r="J136" s="92" t="s">
        <v>255</v>
      </c>
      <c r="K136" s="92">
        <v>4</v>
      </c>
    </row>
    <row r="137" spans="10:11" x14ac:dyDescent="0.25">
      <c r="J137" s="92" t="s">
        <v>256</v>
      </c>
      <c r="K137" s="92">
        <v>5</v>
      </c>
    </row>
    <row r="138" spans="10:11" x14ac:dyDescent="0.25">
      <c r="J138" s="92" t="s">
        <v>257</v>
      </c>
      <c r="K138" s="92">
        <v>5</v>
      </c>
    </row>
    <row r="139" spans="10:11" x14ac:dyDescent="0.25">
      <c r="J139" s="92" t="s">
        <v>381</v>
      </c>
      <c r="K139" s="92">
        <v>4</v>
      </c>
    </row>
    <row r="140" spans="10:11" x14ac:dyDescent="0.25">
      <c r="J140" s="92" t="s">
        <v>382</v>
      </c>
      <c r="K140" s="92">
        <v>3</v>
      </c>
    </row>
    <row r="141" spans="10:11" x14ac:dyDescent="0.25">
      <c r="J141" s="92" t="s">
        <v>383</v>
      </c>
      <c r="K141" s="92">
        <v>4</v>
      </c>
    </row>
    <row r="142" spans="10:11" x14ac:dyDescent="0.25">
      <c r="J142" s="92" t="s">
        <v>244</v>
      </c>
      <c r="K142" s="92">
        <v>4</v>
      </c>
    </row>
    <row r="143" spans="10:11" x14ac:dyDescent="0.25">
      <c r="J143" s="92" t="s">
        <v>384</v>
      </c>
      <c r="K143" s="92">
        <v>4</v>
      </c>
    </row>
    <row r="144" spans="10:11" x14ac:dyDescent="0.25">
      <c r="J144" s="92" t="s">
        <v>245</v>
      </c>
      <c r="K144" s="92">
        <v>5</v>
      </c>
    </row>
    <row r="145" spans="10:11" x14ac:dyDescent="0.25">
      <c r="J145" s="92" t="s">
        <v>385</v>
      </c>
      <c r="K145" s="92">
        <v>3</v>
      </c>
    </row>
    <row r="146" spans="10:11" x14ac:dyDescent="0.25">
      <c r="J146" s="92" t="s">
        <v>252</v>
      </c>
      <c r="K146" s="92">
        <v>4</v>
      </c>
    </row>
    <row r="147" spans="10:11" x14ac:dyDescent="0.25">
      <c r="J147" s="92" t="s">
        <v>386</v>
      </c>
      <c r="K147" s="92">
        <v>4</v>
      </c>
    </row>
    <row r="148" spans="10:11" x14ac:dyDescent="0.25">
      <c r="J148" s="92" t="s">
        <v>387</v>
      </c>
      <c r="K148" s="92">
        <v>4</v>
      </c>
    </row>
    <row r="149" spans="10:11" x14ac:dyDescent="0.25">
      <c r="J149" s="92" t="s">
        <v>388</v>
      </c>
      <c r="K149" s="92">
        <v>4</v>
      </c>
    </row>
    <row r="150" spans="10:11" x14ac:dyDescent="0.25">
      <c r="J150" s="92" t="s">
        <v>248</v>
      </c>
      <c r="K150" s="92">
        <v>4</v>
      </c>
    </row>
    <row r="151" spans="10:11" x14ac:dyDescent="0.25">
      <c r="J151" s="92" t="s">
        <v>389</v>
      </c>
      <c r="K151" s="92">
        <v>4</v>
      </c>
    </row>
    <row r="152" spans="10:11" x14ac:dyDescent="0.25">
      <c r="J152" s="92" t="s">
        <v>390</v>
      </c>
      <c r="K152" s="92">
        <v>3</v>
      </c>
    </row>
    <row r="153" spans="10:11" x14ac:dyDescent="0.25">
      <c r="J153" s="92" t="s">
        <v>390</v>
      </c>
      <c r="K153" s="92">
        <v>3</v>
      </c>
    </row>
    <row r="154" spans="10:11" x14ac:dyDescent="0.25">
      <c r="J154" s="92" t="s">
        <v>253</v>
      </c>
      <c r="K154" s="92">
        <v>4</v>
      </c>
    </row>
    <row r="155" spans="10:11" x14ac:dyDescent="0.25">
      <c r="J155" s="92" t="s">
        <v>253</v>
      </c>
      <c r="K155" s="92">
        <v>4</v>
      </c>
    </row>
    <row r="156" spans="10:11" x14ac:dyDescent="0.25">
      <c r="J156" s="92" t="s">
        <v>391</v>
      </c>
      <c r="K156" s="92">
        <v>4</v>
      </c>
    </row>
    <row r="157" spans="10:11" x14ac:dyDescent="0.25">
      <c r="J157" s="92" t="s">
        <v>392</v>
      </c>
      <c r="K157" s="92">
        <v>4</v>
      </c>
    </row>
    <row r="158" spans="10:11" x14ac:dyDescent="0.25">
      <c r="J158" s="92" t="s">
        <v>393</v>
      </c>
      <c r="K158" s="92">
        <v>4</v>
      </c>
    </row>
    <row r="159" spans="10:11" x14ac:dyDescent="0.25">
      <c r="J159" s="92" t="s">
        <v>394</v>
      </c>
      <c r="K159" s="92">
        <v>3</v>
      </c>
    </row>
    <row r="160" spans="10:11" x14ac:dyDescent="0.25">
      <c r="J160" s="92" t="s">
        <v>395</v>
      </c>
      <c r="K160" s="92">
        <v>3</v>
      </c>
    </row>
    <row r="161" spans="10:11" x14ac:dyDescent="0.25">
      <c r="J161" s="92" t="s">
        <v>281</v>
      </c>
      <c r="K161" s="92">
        <v>4</v>
      </c>
    </row>
    <row r="162" spans="10:11" x14ac:dyDescent="0.25">
      <c r="J162" s="92" t="s">
        <v>282</v>
      </c>
      <c r="K162" s="92">
        <v>4</v>
      </c>
    </row>
    <row r="163" spans="10:11" x14ac:dyDescent="0.25">
      <c r="J163" s="92" t="s">
        <v>396</v>
      </c>
      <c r="K163" s="92">
        <v>4</v>
      </c>
    </row>
    <row r="164" spans="10:11" x14ac:dyDescent="0.25">
      <c r="J164" s="92" t="s">
        <v>283</v>
      </c>
      <c r="K164" s="92">
        <v>5</v>
      </c>
    </row>
    <row r="165" spans="10:11" x14ac:dyDescent="0.25">
      <c r="J165" s="92" t="s">
        <v>284</v>
      </c>
      <c r="K165" s="92">
        <v>4</v>
      </c>
    </row>
    <row r="166" spans="10:11" x14ac:dyDescent="0.25">
      <c r="J166" s="92" t="s">
        <v>285</v>
      </c>
      <c r="K166" s="92">
        <v>4</v>
      </c>
    </row>
    <row r="167" spans="10:11" x14ac:dyDescent="0.25">
      <c r="J167" s="92" t="s">
        <v>286</v>
      </c>
      <c r="K167" s="92">
        <v>4</v>
      </c>
    </row>
    <row r="168" spans="10:11" x14ac:dyDescent="0.25">
      <c r="J168" s="92" t="s">
        <v>397</v>
      </c>
      <c r="K168" s="92">
        <v>3</v>
      </c>
    </row>
    <row r="169" spans="10:11" x14ac:dyDescent="0.25">
      <c r="J169" s="92" t="s">
        <v>398</v>
      </c>
      <c r="K169" s="92">
        <v>4</v>
      </c>
    </row>
  </sheetData>
  <mergeCells count="1">
    <mergeCell ref="J1:K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6EFCE"/>
  </sheetPr>
  <dimension ref="A1:J24"/>
  <sheetViews>
    <sheetView zoomScaleNormal="100" workbookViewId="0">
      <selection activeCell="G17" sqref="G17"/>
    </sheetView>
  </sheetViews>
  <sheetFormatPr defaultRowHeight="15" x14ac:dyDescent="0.25"/>
  <cols>
    <col min="1" max="1" width="3.85546875" style="10" bestFit="1" customWidth="1"/>
    <col min="2" max="2" width="35.7109375" customWidth="1"/>
    <col min="3" max="10" width="11.42578125" customWidth="1"/>
  </cols>
  <sheetData>
    <row r="1" spans="1:10" ht="7.5" customHeight="1" x14ac:dyDescent="0.25"/>
    <row r="2" spans="1:10" ht="30" customHeight="1" x14ac:dyDescent="0.25">
      <c r="A2" s="109" t="s">
        <v>292</v>
      </c>
      <c r="B2" s="109"/>
      <c r="C2" s="109"/>
      <c r="D2" s="109"/>
      <c r="E2" s="109"/>
      <c r="F2" s="109"/>
      <c r="G2" s="109"/>
      <c r="H2" s="109"/>
      <c r="I2" s="109"/>
      <c r="J2" s="109"/>
    </row>
    <row r="3" spans="1:10" ht="7.5" customHeight="1" thickBot="1" x14ac:dyDescent="0.3"/>
    <row r="4" spans="1:10" ht="45" customHeight="1" thickBot="1" x14ac:dyDescent="0.3">
      <c r="B4" s="21" t="str">
        <f>UGHEU!B4</f>
        <v>Subject</v>
      </c>
      <c r="C4" s="22" t="str">
        <f>UGHEU!C4</f>
        <v>2016
Cohort</v>
      </c>
      <c r="D4" s="22" t="str">
        <f>UGHEU!D4</f>
        <v>2015
Cohort</v>
      </c>
      <c r="E4" s="22" t="str">
        <f>UGHEU!E4</f>
        <v>2014
Cohort</v>
      </c>
      <c r="F4" s="22" t="str">
        <f>UGHEU!F4</f>
        <v>2013
Cohort</v>
      </c>
      <c r="G4" s="22" t="str">
        <f>UGHEU!G4</f>
        <v>2012
Cohort</v>
      </c>
      <c r="H4" s="22" t="str">
        <f>UGHEU!H4</f>
        <v>2011
Cohort</v>
      </c>
      <c r="I4" s="22" t="str">
        <f>UGHEU!I4</f>
        <v>2010
Cohort</v>
      </c>
      <c r="J4" s="23" t="str">
        <f>UGHEU!J4</f>
        <v>All Previous Cohorts</v>
      </c>
    </row>
    <row r="5" spans="1:10" ht="15" customHeight="1" x14ac:dyDescent="0.25">
      <c r="A5" s="97" t="s">
        <v>39</v>
      </c>
      <c r="B5" s="16" t="s">
        <v>15</v>
      </c>
      <c r="C5" s="114">
        <v>26750</v>
      </c>
      <c r="D5" s="114">
        <f t="shared" ref="D5:J5" si="0">IF(MROUND(26000*RPIM,500)&gt;$C5,$C5,MROUND(26000*RPIM,500))</f>
        <v>26500</v>
      </c>
      <c r="E5" s="114">
        <f t="shared" si="0"/>
        <v>26500</v>
      </c>
      <c r="F5" s="114">
        <f t="shared" si="0"/>
        <v>26500</v>
      </c>
      <c r="G5" s="114">
        <f t="shared" si="0"/>
        <v>26500</v>
      </c>
      <c r="H5" s="114">
        <f t="shared" si="0"/>
        <v>26500</v>
      </c>
      <c r="I5" s="114">
        <f t="shared" si="0"/>
        <v>26500</v>
      </c>
      <c r="J5" s="116">
        <f t="shared" si="0"/>
        <v>26500</v>
      </c>
    </row>
    <row r="6" spans="1:10" x14ac:dyDescent="0.25">
      <c r="A6" s="98"/>
      <c r="B6" s="4" t="s">
        <v>16</v>
      </c>
      <c r="C6" s="119"/>
      <c r="D6" s="119"/>
      <c r="E6" s="119"/>
      <c r="F6" s="119"/>
      <c r="G6" s="119"/>
      <c r="H6" s="119"/>
      <c r="I6" s="119"/>
      <c r="J6" s="117"/>
    </row>
    <row r="7" spans="1:10" x14ac:dyDescent="0.25">
      <c r="A7" s="98"/>
      <c r="B7" s="4" t="s">
        <v>17</v>
      </c>
      <c r="C7" s="119"/>
      <c r="D7" s="119"/>
      <c r="E7" s="119"/>
      <c r="F7" s="119"/>
      <c r="G7" s="119"/>
      <c r="H7" s="119"/>
      <c r="I7" s="119"/>
      <c r="J7" s="117"/>
    </row>
    <row r="8" spans="1:10" x14ac:dyDescent="0.25">
      <c r="A8" s="98"/>
      <c r="B8" s="4" t="s">
        <v>18</v>
      </c>
      <c r="C8" s="119"/>
      <c r="D8" s="119"/>
      <c r="E8" s="119"/>
      <c r="F8" s="119"/>
      <c r="G8" s="119"/>
      <c r="H8" s="119"/>
      <c r="I8" s="119"/>
      <c r="J8" s="117"/>
    </row>
    <row r="9" spans="1:10" x14ac:dyDescent="0.25">
      <c r="A9" s="98"/>
      <c r="B9" s="4" t="s">
        <v>19</v>
      </c>
      <c r="C9" s="119"/>
      <c r="D9" s="119"/>
      <c r="E9" s="119"/>
      <c r="F9" s="119"/>
      <c r="G9" s="119"/>
      <c r="H9" s="119"/>
      <c r="I9" s="119"/>
      <c r="J9" s="117"/>
    </row>
    <row r="10" spans="1:10" x14ac:dyDescent="0.25">
      <c r="A10" s="98"/>
      <c r="B10" s="4" t="s">
        <v>20</v>
      </c>
      <c r="C10" s="119"/>
      <c r="D10" s="119"/>
      <c r="E10" s="119"/>
      <c r="F10" s="119"/>
      <c r="G10" s="119"/>
      <c r="H10" s="119"/>
      <c r="I10" s="119"/>
      <c r="J10" s="117"/>
    </row>
    <row r="11" spans="1:10" x14ac:dyDescent="0.25">
      <c r="A11" s="98"/>
      <c r="B11" s="5" t="s">
        <v>21</v>
      </c>
      <c r="C11" s="119"/>
      <c r="D11" s="119"/>
      <c r="E11" s="119"/>
      <c r="F11" s="119"/>
      <c r="G11" s="119"/>
      <c r="H11" s="119"/>
      <c r="I11" s="119"/>
      <c r="J11" s="117"/>
    </row>
    <row r="12" spans="1:10" x14ac:dyDescent="0.25">
      <c r="A12" s="98"/>
      <c r="B12" s="4" t="s">
        <v>22</v>
      </c>
      <c r="C12" s="119"/>
      <c r="D12" s="119"/>
      <c r="E12" s="119"/>
      <c r="F12" s="119"/>
      <c r="G12" s="119"/>
      <c r="H12" s="119"/>
      <c r="I12" s="119"/>
      <c r="J12" s="117"/>
    </row>
    <row r="13" spans="1:10" x14ac:dyDescent="0.25">
      <c r="A13" s="98"/>
      <c r="B13" s="4" t="s">
        <v>23</v>
      </c>
      <c r="C13" s="119"/>
      <c r="D13" s="119"/>
      <c r="E13" s="119"/>
      <c r="F13" s="119"/>
      <c r="G13" s="119"/>
      <c r="H13" s="119"/>
      <c r="I13" s="119"/>
      <c r="J13" s="117"/>
    </row>
    <row r="14" spans="1:10" x14ac:dyDescent="0.25">
      <c r="A14" s="98"/>
      <c r="B14" s="4" t="s">
        <v>24</v>
      </c>
      <c r="C14" s="119"/>
      <c r="D14" s="119"/>
      <c r="E14" s="119"/>
      <c r="F14" s="119"/>
      <c r="G14" s="119"/>
      <c r="H14" s="119"/>
      <c r="I14" s="119"/>
      <c r="J14" s="117"/>
    </row>
    <row r="15" spans="1:10" ht="15" customHeight="1" thickBot="1" x14ac:dyDescent="0.3">
      <c r="A15" s="99"/>
      <c r="B15" s="17" t="s">
        <v>25</v>
      </c>
      <c r="C15" s="120"/>
      <c r="D15" s="120"/>
      <c r="E15" s="120"/>
      <c r="F15" s="120"/>
      <c r="G15" s="120"/>
      <c r="H15" s="120"/>
      <c r="I15" s="120"/>
      <c r="J15" s="118"/>
    </row>
    <row r="16" spans="1:10" ht="22.5" customHeight="1" x14ac:dyDescent="0.25">
      <c r="A16" s="110" t="s">
        <v>33</v>
      </c>
      <c r="B16" s="16" t="s">
        <v>36</v>
      </c>
      <c r="C16" s="114">
        <v>37100</v>
      </c>
      <c r="D16" s="114">
        <f>IF(MROUND(36400*RPIM,500)&gt;$C16,$C16,MROUND(36400*RPIM,500))</f>
        <v>37000</v>
      </c>
      <c r="E16" s="114">
        <f>IF(MROUND(36000*RPIM,500)&gt;$C16,$C16,MROUND(36000*RPIM,500))</f>
        <v>36500</v>
      </c>
      <c r="F16" s="24">
        <v>27500</v>
      </c>
      <c r="G16" s="24">
        <v>27500</v>
      </c>
      <c r="H16" s="24">
        <v>27500</v>
      </c>
      <c r="I16" s="24">
        <v>27500</v>
      </c>
      <c r="J16" s="25">
        <v>27500</v>
      </c>
    </row>
    <row r="17" spans="1:10" ht="22.5" customHeight="1" x14ac:dyDescent="0.25">
      <c r="A17" s="111"/>
      <c r="B17" s="4" t="s">
        <v>37</v>
      </c>
      <c r="C17" s="115"/>
      <c r="D17" s="115"/>
      <c r="E17" s="115"/>
      <c r="F17" s="7">
        <v>39150</v>
      </c>
      <c r="G17" s="7">
        <v>39150</v>
      </c>
      <c r="H17" s="7">
        <v>39150</v>
      </c>
      <c r="I17" s="7">
        <v>39150</v>
      </c>
      <c r="J17" s="26">
        <v>39150</v>
      </c>
    </row>
    <row r="18" spans="1:10" ht="22.5" customHeight="1" thickBot="1" x14ac:dyDescent="0.3">
      <c r="A18" s="112"/>
      <c r="B18" s="17" t="s">
        <v>41</v>
      </c>
      <c r="C18" s="27">
        <v>26250</v>
      </c>
      <c r="D18" s="27">
        <f>IF(MROUND(25750*RPIM,500)&gt;$C18,$C18,MROUND(25750*RPIM,500))</f>
        <v>26000</v>
      </c>
      <c r="E18" s="27">
        <f t="shared" ref="E18:J18" si="1">IF(MROUND(25500*RPIM,500)&gt;$C18,$C18,MROUND(25500*RPIM,500))</f>
        <v>26000</v>
      </c>
      <c r="F18" s="27">
        <f t="shared" si="1"/>
        <v>26000</v>
      </c>
      <c r="G18" s="27">
        <f t="shared" si="1"/>
        <v>26000</v>
      </c>
      <c r="H18" s="27">
        <f t="shared" si="1"/>
        <v>26000</v>
      </c>
      <c r="I18" s="27">
        <f t="shared" si="1"/>
        <v>26000</v>
      </c>
      <c r="J18" s="28">
        <f t="shared" si="1"/>
        <v>26000</v>
      </c>
    </row>
    <row r="19" spans="1:10" ht="26.25" customHeight="1" x14ac:dyDescent="0.25">
      <c r="A19" s="97" t="s">
        <v>40</v>
      </c>
      <c r="B19" s="16" t="s">
        <v>27</v>
      </c>
      <c r="C19" s="24">
        <v>27000</v>
      </c>
      <c r="D19" s="24">
        <f>IF(MROUND(26500*RPIM,500)&gt;$C19,$C19,MROUND(26500*RPIM,500))</f>
        <v>27000</v>
      </c>
      <c r="E19" s="24">
        <f>IF(MROUND(26500*RPIM,500)&gt;$C19,$C19,MROUND(26500*RPIM,500))</f>
        <v>27000</v>
      </c>
      <c r="F19" s="24">
        <f>IF(MROUND(26500*RPIM,500)&gt;$C19,$C19,MROUND(26500*RPIM,500))</f>
        <v>27000</v>
      </c>
      <c r="G19" s="24">
        <f>IF(MROUND(26500*RPIM,500)&gt;$C19,$C19,MROUND(26500*RPIM,500))</f>
        <v>27000</v>
      </c>
      <c r="H19" s="24">
        <f>IF(MROUND(26500*RPIM,500)&gt;$C19,$C19,MROUND(26500*RPIM,500))</f>
        <v>27000</v>
      </c>
      <c r="I19" s="24">
        <f>IF(MROUND(26000*RPIM,500)&gt;$C19,$C19,MROUND(26000*RPIM,500))</f>
        <v>26500</v>
      </c>
      <c r="J19" s="25">
        <f>IF(MROUND(25500*RPIM,500)&gt;$C19,$C19,MROUND(25500*RPIM,500))</f>
        <v>26000</v>
      </c>
    </row>
    <row r="20" spans="1:10" ht="26.25" customHeight="1" x14ac:dyDescent="0.25">
      <c r="A20" s="98"/>
      <c r="B20" s="4" t="s">
        <v>28</v>
      </c>
      <c r="C20" s="7">
        <v>26500</v>
      </c>
      <c r="D20" s="7">
        <f>IF(MROUND(26000*RPIM,500)&gt;$C20,$C20,MROUND(26000*RPIM,500))</f>
        <v>26500</v>
      </c>
      <c r="E20" s="7">
        <f>IF(MROUND(26000*RPIM,500)&gt;$C20,$C20,MROUND(26000*RPIM,500))</f>
        <v>26500</v>
      </c>
      <c r="F20" s="7">
        <f>IF(MROUND(26000*RPIM,500)&gt;$C20,$C20,MROUND(26000*RPIM,500))</f>
        <v>26500</v>
      </c>
      <c r="G20" s="7">
        <f>IF(MROUND(26000*RPIM,500)&gt;$C20,$C20,MROUND(26000*RPIM,500))</f>
        <v>26500</v>
      </c>
      <c r="H20" s="7">
        <f>IF(MROUND(26000*RPIM,500)&gt;$C20,$C20,MROUND(26000*RPIM,500))</f>
        <v>26500</v>
      </c>
      <c r="I20" s="7">
        <f>IF(MROUND(26000*RPIM,500)&gt;$C20,$C20,MROUND(26000*RPIM,500))</f>
        <v>26500</v>
      </c>
      <c r="J20" s="26">
        <f>IF(MROUND(26000*RPIM,500)&gt;$C20,$C20,MROUND(26000*RPIM,500))</f>
        <v>26500</v>
      </c>
    </row>
    <row r="21" spans="1:10" ht="26.25" customHeight="1" x14ac:dyDescent="0.25">
      <c r="A21" s="98"/>
      <c r="B21" s="4" t="s">
        <v>29</v>
      </c>
      <c r="C21" s="7">
        <v>24000</v>
      </c>
      <c r="D21" s="7">
        <f t="shared" ref="D21:I21" si="2">IF(MROUND(23500*RPIM,500)&gt;$C21,$C21,MROUND(23500*RPIM,500))</f>
        <v>24000</v>
      </c>
      <c r="E21" s="7">
        <f t="shared" si="2"/>
        <v>24000</v>
      </c>
      <c r="F21" s="7">
        <f t="shared" si="2"/>
        <v>24000</v>
      </c>
      <c r="G21" s="7">
        <f t="shared" si="2"/>
        <v>24000</v>
      </c>
      <c r="H21" s="7">
        <f t="shared" si="2"/>
        <v>24000</v>
      </c>
      <c r="I21" s="7">
        <f t="shared" si="2"/>
        <v>24000</v>
      </c>
      <c r="J21" s="26">
        <f>IF(MROUND(22500*RPIM,500)&gt;$C21,$C21,MROUND(22500*RPIM,500))</f>
        <v>23000</v>
      </c>
    </row>
    <row r="22" spans="1:10" ht="26.25" customHeight="1" thickBot="1" x14ac:dyDescent="0.3">
      <c r="A22" s="99"/>
      <c r="B22" s="17" t="s">
        <v>30</v>
      </c>
      <c r="C22" s="27">
        <v>26000</v>
      </c>
      <c r="D22" s="27">
        <f>IF(MROUND(25500*RPIM,500)&gt;$C22,$C22,MROUND(25500*RPIM,500))</f>
        <v>26000</v>
      </c>
      <c r="E22" s="27">
        <f>IF(MROUND(25500*RPIM,500)&gt;$C22,$C22,MROUND(25500*RPIM,500))</f>
        <v>26000</v>
      </c>
      <c r="F22" s="27">
        <f>IF(MROUND(25500*RPIM,500)&gt;$C22,$C22,MROUND(25500*RPIM,500))</f>
        <v>26000</v>
      </c>
      <c r="G22" s="27">
        <f>IF(MROUND(25500*RPIM,500)&gt;$C22,$C22,MROUND(25500*RPIM,500))</f>
        <v>26000</v>
      </c>
      <c r="H22" s="27">
        <f>IF(MROUND(25500*RPIM,500)&gt;$C22,$C22,MROUND(25500*RPIM,500))</f>
        <v>26000</v>
      </c>
      <c r="I22" s="27">
        <f>IF(MROUND(25000*RPIM,500)&gt;$C22,$C22,MROUND(25000*RPIM,500))</f>
        <v>25500</v>
      </c>
      <c r="J22" s="28">
        <f>IF(MROUND(24000*RPIM,500)&gt;$C22,$C22,MROUND(24000*RPIM,500))</f>
        <v>24500</v>
      </c>
    </row>
    <row r="24" spans="1:10" s="8" customFormat="1" ht="45" customHeight="1" x14ac:dyDescent="0.25">
      <c r="A24" s="11" t="s">
        <v>31</v>
      </c>
      <c r="B24" s="113" t="s">
        <v>38</v>
      </c>
      <c r="C24" s="113"/>
      <c r="D24" s="113"/>
      <c r="E24" s="113"/>
      <c r="F24" s="113"/>
      <c r="G24" s="113"/>
      <c r="H24" s="113"/>
      <c r="I24" s="113"/>
      <c r="J24" s="113"/>
    </row>
  </sheetData>
  <mergeCells count="16">
    <mergeCell ref="A5:A15"/>
    <mergeCell ref="A19:A22"/>
    <mergeCell ref="A16:A18"/>
    <mergeCell ref="B24:J24"/>
    <mergeCell ref="A2:J2"/>
    <mergeCell ref="C16:C17"/>
    <mergeCell ref="D16:D17"/>
    <mergeCell ref="E16:E17"/>
    <mergeCell ref="J5:J15"/>
    <mergeCell ref="C5:C15"/>
    <mergeCell ref="D5:D15"/>
    <mergeCell ref="E5:E15"/>
    <mergeCell ref="F5:F15"/>
    <mergeCell ref="G5:G15"/>
    <mergeCell ref="H5:H15"/>
    <mergeCell ref="I5:I1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6EFCE"/>
  </sheetPr>
  <dimension ref="A1:J96"/>
  <sheetViews>
    <sheetView topLeftCell="A7" zoomScaleNormal="100" workbookViewId="0">
      <selection activeCell="B22" sqref="B22"/>
    </sheetView>
  </sheetViews>
  <sheetFormatPr defaultRowHeight="15" x14ac:dyDescent="0.25"/>
  <cols>
    <col min="1" max="1" width="3.85546875" bestFit="1" customWidth="1"/>
    <col min="2" max="2" width="49.140625" style="8" customWidth="1"/>
    <col min="3" max="5" width="11.42578125" style="56" customWidth="1"/>
  </cols>
  <sheetData>
    <row r="1" spans="1:10" ht="7.5" customHeight="1" x14ac:dyDescent="0.25">
      <c r="A1" s="9"/>
      <c r="B1" s="51"/>
    </row>
    <row r="2" spans="1:10" s="1" customFormat="1" ht="60" customHeight="1" x14ac:dyDescent="0.25">
      <c r="A2" s="9"/>
      <c r="B2" s="121" t="str">
        <f>"The fees for continuing students that are based on the UK Research Council fee of "&amp;TEXT(RCFee,"£#,##0.00")&amp;" will increase annually by the GDP deflator, fees for other students will increase annually by the RPI value for April in the calendar year the session commences rounded to the nearest £50 and subject to a cap of the new-entrant fee for that session."</f>
        <v>The fees for continuing students that are based on the UK Research Council fee of £4,121.00 will increase annually by the GDP deflator, fees for other students will increase annually by the RPI value for April in the calendar year the session commences rounded to the nearest £50 and subject to a cap of the new-entrant fee for that session.</v>
      </c>
      <c r="C2" s="121"/>
      <c r="D2" s="121"/>
      <c r="E2" s="121"/>
      <c r="F2"/>
    </row>
    <row r="3" spans="1:10" s="1" customFormat="1" ht="7.5" customHeight="1" thickBot="1" x14ac:dyDescent="0.3">
      <c r="B3" s="8"/>
      <c r="C3" s="56"/>
      <c r="D3" s="56"/>
      <c r="E3" s="56"/>
    </row>
    <row r="4" spans="1:10" ht="60" customHeight="1" thickBot="1" x14ac:dyDescent="0.3">
      <c r="A4" s="1"/>
      <c r="C4" s="80" t="s">
        <v>115</v>
      </c>
      <c r="D4" s="129" t="s">
        <v>118</v>
      </c>
      <c r="E4" s="130"/>
    </row>
    <row r="5" spans="1:10" s="1" customFormat="1" ht="7.5" customHeight="1" thickBot="1" x14ac:dyDescent="0.3">
      <c r="A5" s="10"/>
      <c r="B5" s="81" t="s">
        <v>42</v>
      </c>
      <c r="C5" s="82" t="s">
        <v>116</v>
      </c>
      <c r="D5" s="82" t="s">
        <v>116</v>
      </c>
      <c r="E5" s="83" t="s">
        <v>117</v>
      </c>
      <c r="F5"/>
      <c r="G5"/>
      <c r="H5"/>
      <c r="I5"/>
      <c r="J5"/>
    </row>
    <row r="6" spans="1:10" ht="15.75" customHeight="1" x14ac:dyDescent="0.25">
      <c r="A6" s="124" t="s">
        <v>39</v>
      </c>
      <c r="B6" s="84" t="s">
        <v>15</v>
      </c>
      <c r="C6" s="127">
        <v>11000</v>
      </c>
      <c r="D6" s="69">
        <f>C6/2</f>
        <v>5500</v>
      </c>
      <c r="E6" s="70">
        <f>IF(MROUND(10000*RPIM,50)&gt;$C6,$C6,MROUND(10000*RPIM,50))/2</f>
        <v>5075</v>
      </c>
    </row>
    <row r="7" spans="1:10" ht="15" customHeight="1" x14ac:dyDescent="0.25">
      <c r="A7" s="125"/>
      <c r="B7" s="46" t="s">
        <v>16</v>
      </c>
      <c r="C7" s="128"/>
      <c r="D7" s="61" t="s">
        <v>119</v>
      </c>
      <c r="E7" s="62" t="s">
        <v>119</v>
      </c>
    </row>
    <row r="8" spans="1:10" ht="32.25" x14ac:dyDescent="0.25">
      <c r="A8" s="125"/>
      <c r="B8" s="46" t="s">
        <v>160</v>
      </c>
      <c r="C8" s="122" t="s">
        <v>119</v>
      </c>
      <c r="D8" s="61">
        <v>2355</v>
      </c>
      <c r="E8" s="62">
        <f>IF(MROUND(23550*RPIM,50)&gt;$D8*10,$D8,MROUND(23550*RPIM,50)/10)</f>
        <v>2355</v>
      </c>
    </row>
    <row r="9" spans="1:10" ht="32.25" x14ac:dyDescent="0.25">
      <c r="A9" s="125"/>
      <c r="B9" s="46" t="s">
        <v>161</v>
      </c>
      <c r="C9" s="122"/>
      <c r="D9" s="61">
        <v>2355</v>
      </c>
      <c r="E9" s="62">
        <f>IF(MROUND(23550*RPIM,50)&gt;$D9*10,$D9,MROUND(23550*RPIM,50)/10)</f>
        <v>2355</v>
      </c>
    </row>
    <row r="10" spans="1:10" ht="30" customHeight="1" x14ac:dyDescent="0.25">
      <c r="A10" s="125"/>
      <c r="B10" s="46" t="s">
        <v>179</v>
      </c>
      <c r="C10" s="122"/>
      <c r="D10" s="61">
        <v>4710</v>
      </c>
      <c r="E10" s="62">
        <f>IF(MROUND(23550*RPIM,50)&gt;$D10*5,$D10,MROUND(23550*RPIM,50)/5)</f>
        <v>4710</v>
      </c>
    </row>
    <row r="11" spans="1:10" ht="30" customHeight="1" x14ac:dyDescent="0.25">
      <c r="A11" s="125"/>
      <c r="B11" s="46" t="s">
        <v>152</v>
      </c>
      <c r="C11" s="61">
        <v>11000</v>
      </c>
      <c r="D11" s="61">
        <f>C11/2</f>
        <v>5500</v>
      </c>
      <c r="E11" s="62">
        <f>IF(MROUND(10000*RPIM,50)&gt;$C11,$C11,MROUND(10000*RPIM,50))/2</f>
        <v>5075</v>
      </c>
    </row>
    <row r="12" spans="1:10" ht="30" customHeight="1" x14ac:dyDescent="0.25">
      <c r="A12" s="125"/>
      <c r="B12" s="46" t="s">
        <v>151</v>
      </c>
      <c r="C12" s="61">
        <v>15750</v>
      </c>
      <c r="D12" s="61">
        <f>C12/2</f>
        <v>7875</v>
      </c>
      <c r="E12" s="62">
        <f>IF(MROUND(15300*RPIM,50)&gt;$C12,$C12,MROUND(15300*RPIM,50))/2</f>
        <v>7750</v>
      </c>
    </row>
    <row r="13" spans="1:10" x14ac:dyDescent="0.25">
      <c r="A13" s="125"/>
      <c r="B13" s="46" t="s">
        <v>153</v>
      </c>
      <c r="C13" s="61">
        <v>11000</v>
      </c>
      <c r="D13" s="61">
        <f>C13/2</f>
        <v>5500</v>
      </c>
      <c r="E13" s="62">
        <f>IF(MROUND(10200*RPIM,50)&gt;$C13,$C13,MROUND(10200*RPIM,50))/2</f>
        <v>5175</v>
      </c>
    </row>
    <row r="14" spans="1:10" ht="32.25" x14ac:dyDescent="0.25">
      <c r="A14" s="125"/>
      <c r="B14" s="46" t="s">
        <v>162</v>
      </c>
      <c r="C14" s="61" t="s">
        <v>119</v>
      </c>
      <c r="D14" s="61">
        <f>ROUND(C13/3,0)</f>
        <v>3667</v>
      </c>
      <c r="E14" s="62">
        <f>ROUND((E13*2)/3,0)</f>
        <v>3450</v>
      </c>
    </row>
    <row r="15" spans="1:10" x14ac:dyDescent="0.25">
      <c r="A15" s="125"/>
      <c r="B15" s="46" t="s">
        <v>154</v>
      </c>
      <c r="C15" s="61">
        <v>28200</v>
      </c>
      <c r="D15" s="61" t="s">
        <v>119</v>
      </c>
      <c r="E15" s="62" t="s">
        <v>119</v>
      </c>
    </row>
    <row r="16" spans="1:10" ht="15" customHeight="1" x14ac:dyDescent="0.25">
      <c r="A16" s="125"/>
      <c r="B16" s="46" t="s">
        <v>163</v>
      </c>
      <c r="C16" s="131" t="s">
        <v>119</v>
      </c>
      <c r="D16" s="61">
        <f>C15/10</f>
        <v>2820</v>
      </c>
      <c r="E16" s="62">
        <f>IF(MROUND(27100*RPIM,500)&gt;$C15,$C15,MROUND(27100*RPIM,500))/10</f>
        <v>2750</v>
      </c>
    </row>
    <row r="17" spans="1:10" x14ac:dyDescent="0.25">
      <c r="A17" s="125"/>
      <c r="B17" s="46" t="s">
        <v>167</v>
      </c>
      <c r="C17" s="128"/>
      <c r="D17" s="61">
        <f>C15/5</f>
        <v>5640</v>
      </c>
      <c r="E17" s="62">
        <f>IF(MROUND(27100*RPIM,500)&gt;$C15,$C15,MROUND(27100*RPIM,500))/5</f>
        <v>5500</v>
      </c>
      <c r="F17" s="1"/>
      <c r="G17" s="1"/>
      <c r="H17" s="1"/>
      <c r="I17" s="1"/>
      <c r="J17" s="1"/>
    </row>
    <row r="18" spans="1:10" ht="15" customHeight="1" x14ac:dyDescent="0.25">
      <c r="A18" s="125"/>
      <c r="B18" s="46" t="s">
        <v>155</v>
      </c>
      <c r="C18" s="61">
        <v>12500</v>
      </c>
      <c r="D18" s="61" t="s">
        <v>119</v>
      </c>
      <c r="E18" s="62" t="s">
        <v>119</v>
      </c>
    </row>
    <row r="19" spans="1:10" s="1" customFormat="1" ht="15" customHeight="1" x14ac:dyDescent="0.25">
      <c r="A19" s="125"/>
      <c r="B19" s="46" t="s">
        <v>156</v>
      </c>
      <c r="C19" s="61">
        <v>18950</v>
      </c>
      <c r="D19" s="122" t="s">
        <v>119</v>
      </c>
      <c r="E19" s="123" t="s">
        <v>119</v>
      </c>
      <c r="F19"/>
      <c r="G19"/>
      <c r="H19"/>
      <c r="I19"/>
      <c r="J19"/>
    </row>
    <row r="20" spans="1:10" x14ac:dyDescent="0.25">
      <c r="A20" s="125"/>
      <c r="B20" s="46" t="s">
        <v>401</v>
      </c>
      <c r="C20" s="61">
        <v>15000</v>
      </c>
      <c r="D20" s="122"/>
      <c r="E20" s="123"/>
    </row>
    <row r="21" spans="1:10" x14ac:dyDescent="0.25">
      <c r="A21" s="125"/>
      <c r="B21" s="46" t="s">
        <v>23</v>
      </c>
      <c r="C21" s="131">
        <v>11000</v>
      </c>
      <c r="D21" s="61">
        <f>C21/2</f>
        <v>5500</v>
      </c>
      <c r="E21" s="62">
        <f>IF(MROUND(10000*RPIM,50)&gt;$C21,$C21,MROUND(10000*RPIM,50))/2</f>
        <v>5075</v>
      </c>
    </row>
    <row r="22" spans="1:10" x14ac:dyDescent="0.25">
      <c r="A22" s="125"/>
      <c r="B22" s="46" t="s">
        <v>24</v>
      </c>
      <c r="C22" s="132"/>
      <c r="D22" s="61" t="s">
        <v>119</v>
      </c>
      <c r="E22" s="62" t="s">
        <v>119</v>
      </c>
    </row>
    <row r="23" spans="1:10" x14ac:dyDescent="0.25">
      <c r="A23" s="125"/>
      <c r="B23" s="46" t="s">
        <v>25</v>
      </c>
      <c r="C23" s="128"/>
      <c r="D23" s="61">
        <f>C21/2</f>
        <v>5500</v>
      </c>
      <c r="E23" s="62">
        <f>IF(MROUND(10000*RPIM,50)&gt;$C21,$C21,MROUND(10000*RPIM,50))/2</f>
        <v>5075</v>
      </c>
    </row>
    <row r="24" spans="1:10" ht="17.25" x14ac:dyDescent="0.25">
      <c r="A24" s="125"/>
      <c r="B24" s="46" t="s">
        <v>164</v>
      </c>
      <c r="C24" s="61" t="s">
        <v>119</v>
      </c>
      <c r="D24" s="61">
        <f>ROUND(C21/3,0)</f>
        <v>3667</v>
      </c>
      <c r="E24" s="62">
        <f>ROUND((E23*2)/3,0)</f>
        <v>3383</v>
      </c>
    </row>
    <row r="25" spans="1:10" x14ac:dyDescent="0.25">
      <c r="A25" s="125"/>
      <c r="B25" s="46" t="s">
        <v>158</v>
      </c>
      <c r="C25" s="61">
        <v>11000</v>
      </c>
      <c r="D25" s="61" t="s">
        <v>119</v>
      </c>
      <c r="E25" s="62" t="s">
        <v>119</v>
      </c>
    </row>
    <row r="26" spans="1:10" ht="15" customHeight="1" x14ac:dyDescent="0.25">
      <c r="A26" s="125"/>
      <c r="B26" s="46" t="s">
        <v>165</v>
      </c>
      <c r="C26" s="122" t="s">
        <v>159</v>
      </c>
      <c r="D26" s="122" t="s">
        <v>119</v>
      </c>
      <c r="E26" s="123" t="s">
        <v>119</v>
      </c>
    </row>
    <row r="27" spans="1:10" ht="18" thickBot="1" x14ac:dyDescent="0.3">
      <c r="A27" s="126"/>
      <c r="B27" s="85" t="s">
        <v>166</v>
      </c>
      <c r="C27" s="134"/>
      <c r="D27" s="134"/>
      <c r="E27" s="133"/>
    </row>
    <row r="28" spans="1:10" ht="15" customHeight="1" x14ac:dyDescent="0.25"/>
    <row r="29" spans="1:10" ht="16.5" customHeight="1" x14ac:dyDescent="0.25">
      <c r="A29" s="86" t="s">
        <v>31</v>
      </c>
      <c r="B29" s="113" t="s">
        <v>178</v>
      </c>
      <c r="C29" s="113"/>
      <c r="D29" s="113"/>
      <c r="E29" s="113"/>
    </row>
    <row r="30" spans="1:10" ht="7.5" customHeight="1" x14ac:dyDescent="0.25">
      <c r="A30" s="86" t="s">
        <v>32</v>
      </c>
      <c r="B30" s="113" t="s">
        <v>177</v>
      </c>
      <c r="C30" s="113"/>
      <c r="D30" s="113"/>
      <c r="E30" s="113"/>
    </row>
    <row r="31" spans="1:10" ht="30" customHeight="1" x14ac:dyDescent="0.25">
      <c r="A31" s="86" t="s">
        <v>168</v>
      </c>
      <c r="B31" s="113" t="s">
        <v>176</v>
      </c>
      <c r="C31" s="113"/>
      <c r="D31" s="113"/>
      <c r="E31" s="113"/>
    </row>
    <row r="32" spans="1:10" ht="15" customHeight="1" x14ac:dyDescent="0.25">
      <c r="A32" s="86" t="s">
        <v>169</v>
      </c>
      <c r="B32" s="113" t="s">
        <v>172</v>
      </c>
      <c r="C32" s="113"/>
      <c r="D32" s="113"/>
      <c r="E32" s="113"/>
    </row>
    <row r="33" spans="1:6" ht="15" customHeight="1" x14ac:dyDescent="0.25">
      <c r="A33" s="86" t="s">
        <v>170</v>
      </c>
      <c r="B33" s="113" t="s">
        <v>171</v>
      </c>
      <c r="C33" s="113"/>
      <c r="D33" s="113"/>
      <c r="E33" s="113"/>
    </row>
    <row r="34" spans="1:6" ht="15" customHeight="1" thickBot="1" x14ac:dyDescent="0.3">
      <c r="B34"/>
      <c r="C34"/>
      <c r="D34"/>
      <c r="E34"/>
    </row>
    <row r="35" spans="1:6" ht="30" customHeight="1" thickBot="1" x14ac:dyDescent="0.3">
      <c r="A35" s="1"/>
      <c r="C35" s="80" t="s">
        <v>115</v>
      </c>
      <c r="D35" s="129" t="s">
        <v>118</v>
      </c>
      <c r="E35" s="130"/>
    </row>
    <row r="36" spans="1:6" ht="7.5" customHeight="1" thickBot="1" x14ac:dyDescent="0.3">
      <c r="A36" s="10"/>
      <c r="B36" s="81" t="s">
        <v>42</v>
      </c>
      <c r="C36" s="82" t="s">
        <v>116</v>
      </c>
      <c r="D36" s="82" t="s">
        <v>116</v>
      </c>
      <c r="E36" s="83" t="s">
        <v>117</v>
      </c>
    </row>
    <row r="37" spans="1:6" x14ac:dyDescent="0.25">
      <c r="A37" s="135" t="s">
        <v>33</v>
      </c>
      <c r="B37" s="84" t="s">
        <v>180</v>
      </c>
      <c r="C37" s="127" t="s">
        <v>119</v>
      </c>
      <c r="D37" s="69">
        <v>4850</v>
      </c>
      <c r="E37" s="70">
        <f>MROUND(9500*RPIM,50)/2</f>
        <v>4800</v>
      </c>
    </row>
    <row r="38" spans="1:6" ht="15" customHeight="1" x14ac:dyDescent="0.25">
      <c r="A38" s="136"/>
      <c r="B38" s="46" t="s">
        <v>197</v>
      </c>
      <c r="C38" s="132"/>
      <c r="D38" s="61">
        <v>2800</v>
      </c>
      <c r="E38" s="62">
        <f>MROUND(IF(MROUND(9500*RPIM,50)&gt;$C61,$C61,MROUND(9500*RPIM,50))/3.465,20)</f>
        <v>2780</v>
      </c>
      <c r="F38" s="87"/>
    </row>
    <row r="39" spans="1:6" ht="15" customHeight="1" x14ac:dyDescent="0.25">
      <c r="A39" s="136"/>
      <c r="B39" s="46" t="s">
        <v>183</v>
      </c>
      <c r="C39" s="132"/>
      <c r="D39" s="61">
        <f>9700-SUM(D37:D38)</f>
        <v>2050</v>
      </c>
      <c r="E39" s="62">
        <f>IF(MROUND(9500*RPIM,50)&gt;$C61,$C61,MROUND(9500*RPIM,50)-SUM(E37:E38))</f>
        <v>2020</v>
      </c>
    </row>
    <row r="40" spans="1:6" ht="15" customHeight="1" x14ac:dyDescent="0.25">
      <c r="A40" s="136"/>
      <c r="B40" s="46" t="s">
        <v>191</v>
      </c>
      <c r="C40" s="132"/>
      <c r="D40" s="131">
        <v>4850</v>
      </c>
      <c r="E40" s="137">
        <f>MROUND(9500*RPIM,50)/2</f>
        <v>4800</v>
      </c>
    </row>
    <row r="41" spans="1:6" ht="15" customHeight="1" x14ac:dyDescent="0.25">
      <c r="A41" s="136"/>
      <c r="B41" s="46" t="s">
        <v>193</v>
      </c>
      <c r="C41" s="128"/>
      <c r="D41" s="128"/>
      <c r="E41" s="138"/>
    </row>
    <row r="42" spans="1:6" ht="15" customHeight="1" x14ac:dyDescent="0.25">
      <c r="A42" s="136"/>
      <c r="B42" s="46" t="s">
        <v>194</v>
      </c>
      <c r="C42" s="131">
        <f>ROUND(C44/3,0)</f>
        <v>4000</v>
      </c>
      <c r="D42" s="61">
        <f>ROUND($C44/3,0)</f>
        <v>4000</v>
      </c>
      <c r="E42" s="62">
        <f>IF(MROUND(12000*RPIM,50)&gt;$C44,$C44,MROUND(12000*RPIM,50))/3</f>
        <v>4000</v>
      </c>
    </row>
    <row r="43" spans="1:6" ht="15" customHeight="1" x14ac:dyDescent="0.25">
      <c r="A43" s="136"/>
      <c r="B43" s="46" t="s">
        <v>209</v>
      </c>
      <c r="C43" s="128"/>
      <c r="D43" s="61">
        <f>C42/2</f>
        <v>2000</v>
      </c>
      <c r="E43" s="62">
        <f>ROUND(IF(MROUND(12000*RPIM,50)&gt;$C44,$C44,MROUND(12000*RPIM,50))/6,0)</f>
        <v>2000</v>
      </c>
    </row>
    <row r="44" spans="1:6" ht="15" customHeight="1" x14ac:dyDescent="0.25">
      <c r="A44" s="136"/>
      <c r="B44" s="46" t="s">
        <v>195</v>
      </c>
      <c r="C44" s="61">
        <v>12000</v>
      </c>
      <c r="D44" s="61">
        <f>C44/2</f>
        <v>6000</v>
      </c>
      <c r="E44" s="62">
        <f>ROUND(IF(MROUND(12000*RPIM,50)&gt;$C44,$C44,MROUND(12000*RPIM,50))/2,0)</f>
        <v>6000</v>
      </c>
    </row>
    <row r="45" spans="1:6" ht="15" customHeight="1" x14ac:dyDescent="0.25">
      <c r="A45" s="136"/>
      <c r="B45" s="46" t="s">
        <v>181</v>
      </c>
      <c r="C45" s="131" t="s">
        <v>119</v>
      </c>
      <c r="D45" s="61">
        <v>4850</v>
      </c>
      <c r="E45" s="62">
        <f>MROUND(9500*RPIM,50)/2</f>
        <v>4800</v>
      </c>
    </row>
    <row r="46" spans="1:6" ht="15" customHeight="1" x14ac:dyDescent="0.25">
      <c r="A46" s="136"/>
      <c r="B46" s="46" t="s">
        <v>196</v>
      </c>
      <c r="C46" s="132"/>
      <c r="D46" s="61">
        <v>2800</v>
      </c>
      <c r="E46" s="62">
        <f>MROUND(IF(MROUND(9500*RPIM,50)&gt;$C61,$C61,MROUND(9500*RPIM,50))/3.465,20)</f>
        <v>2780</v>
      </c>
    </row>
    <row r="47" spans="1:6" ht="15" customHeight="1" x14ac:dyDescent="0.25">
      <c r="A47" s="136"/>
      <c r="B47" s="46" t="s">
        <v>184</v>
      </c>
      <c r="C47" s="132"/>
      <c r="D47" s="61">
        <f>9700-SUM(D45:D46)</f>
        <v>2050</v>
      </c>
      <c r="E47" s="62">
        <f>IF(MROUND(9500*RPIM,50)&gt;$C61,$C61,MROUND(9500*RPIM,50)-SUM(E37:E38))</f>
        <v>2020</v>
      </c>
    </row>
    <row r="48" spans="1:6" ht="15" customHeight="1" x14ac:dyDescent="0.25">
      <c r="A48" s="136"/>
      <c r="B48" s="46" t="s">
        <v>186</v>
      </c>
      <c r="C48" s="132"/>
      <c r="D48" s="61">
        <v>7000</v>
      </c>
      <c r="E48" s="137" t="s">
        <v>119</v>
      </c>
    </row>
    <row r="49" spans="1:5" ht="15" customHeight="1" x14ac:dyDescent="0.25">
      <c r="A49" s="136"/>
      <c r="B49" s="46" t="s">
        <v>210</v>
      </c>
      <c r="C49" s="132"/>
      <c r="D49" s="61">
        <v>2500</v>
      </c>
      <c r="E49" s="139"/>
    </row>
    <row r="50" spans="1:5" ht="15" customHeight="1" x14ac:dyDescent="0.25">
      <c r="A50" s="136"/>
      <c r="B50" s="46" t="s">
        <v>211</v>
      </c>
      <c r="C50" s="132"/>
      <c r="D50" s="61">
        <f>11900-SUM(D48:D49)</f>
        <v>2400</v>
      </c>
      <c r="E50" s="138"/>
    </row>
    <row r="51" spans="1:5" ht="15" customHeight="1" x14ac:dyDescent="0.25">
      <c r="A51" s="136"/>
      <c r="B51" s="46" t="s">
        <v>192</v>
      </c>
      <c r="C51" s="132"/>
      <c r="D51" s="61">
        <v>4850</v>
      </c>
      <c r="E51" s="137">
        <f>ROUND(MROUND(9500*RPIM,50)/3,0)</f>
        <v>3200</v>
      </c>
    </row>
    <row r="52" spans="1:5" ht="15" customHeight="1" x14ac:dyDescent="0.25">
      <c r="A52" s="136"/>
      <c r="B52" s="46" t="s">
        <v>212</v>
      </c>
      <c r="C52" s="132"/>
      <c r="D52" s="61">
        <v>2425</v>
      </c>
      <c r="E52" s="138"/>
    </row>
    <row r="53" spans="1:5" ht="15" customHeight="1" x14ac:dyDescent="0.25">
      <c r="A53" s="136"/>
      <c r="B53" s="46" t="s">
        <v>182</v>
      </c>
      <c r="C53" s="132"/>
      <c r="D53" s="131">
        <v>4850</v>
      </c>
      <c r="E53" s="62">
        <f>MROUND(9000*RPIM,50)/2</f>
        <v>4550</v>
      </c>
    </row>
    <row r="54" spans="1:5" ht="15" customHeight="1" x14ac:dyDescent="0.25">
      <c r="A54" s="136"/>
      <c r="B54" s="46" t="s">
        <v>190</v>
      </c>
      <c r="C54" s="132"/>
      <c r="D54" s="128"/>
      <c r="E54" s="62">
        <f>MROUND(9500*RPIM,50)/2</f>
        <v>4800</v>
      </c>
    </row>
    <row r="55" spans="1:5" ht="15" customHeight="1" x14ac:dyDescent="0.25">
      <c r="A55" s="136"/>
      <c r="B55" s="46" t="s">
        <v>185</v>
      </c>
      <c r="C55" s="132"/>
      <c r="D55" s="61">
        <v>6500</v>
      </c>
      <c r="E55" s="62">
        <v>6500</v>
      </c>
    </row>
    <row r="56" spans="1:5" ht="15" customHeight="1" x14ac:dyDescent="0.25">
      <c r="A56" s="136"/>
      <c r="B56" s="46" t="s">
        <v>213</v>
      </c>
      <c r="C56" s="132"/>
      <c r="D56" s="131">
        <v>1700</v>
      </c>
      <c r="E56" s="137">
        <v>1700</v>
      </c>
    </row>
    <row r="57" spans="1:5" ht="15" customHeight="1" x14ac:dyDescent="0.25">
      <c r="A57" s="136"/>
      <c r="B57" s="46" t="s">
        <v>214</v>
      </c>
      <c r="C57" s="132"/>
      <c r="D57" s="128"/>
      <c r="E57" s="138"/>
    </row>
    <row r="58" spans="1:5" ht="15" customHeight="1" x14ac:dyDescent="0.25">
      <c r="A58" s="136"/>
      <c r="B58" s="46" t="s">
        <v>187</v>
      </c>
      <c r="C58" s="132"/>
      <c r="D58" s="61">
        <v>7800</v>
      </c>
      <c r="E58" s="137" t="s">
        <v>119</v>
      </c>
    </row>
    <row r="59" spans="1:5" ht="15" customHeight="1" x14ac:dyDescent="0.25">
      <c r="A59" s="136"/>
      <c r="B59" s="46" t="s">
        <v>188</v>
      </c>
      <c r="C59" s="132"/>
      <c r="D59" s="131">
        <f>11900/2</f>
        <v>5950</v>
      </c>
      <c r="E59" s="138"/>
    </row>
    <row r="60" spans="1:5" ht="15" customHeight="1" x14ac:dyDescent="0.25">
      <c r="A60" s="136"/>
      <c r="B60" s="46" t="s">
        <v>189</v>
      </c>
      <c r="C60" s="128"/>
      <c r="D60" s="128"/>
      <c r="E60" s="62">
        <f>IF(MROUND((5800*2)*RPIM,50)&gt;$D59*2,$D59,MROUND((5800*2)*RPIM,50))/2</f>
        <v>5875</v>
      </c>
    </row>
    <row r="61" spans="1:5" ht="15" customHeight="1" thickBot="1" x14ac:dyDescent="0.3">
      <c r="A61" s="136"/>
      <c r="B61" s="88" t="s">
        <v>122</v>
      </c>
      <c r="C61" s="67">
        <v>9700</v>
      </c>
      <c r="D61" s="67">
        <f>C61/2</f>
        <v>4850</v>
      </c>
      <c r="E61" s="68">
        <f>MROUND(9500*RPIM,50)/2</f>
        <v>4800</v>
      </c>
    </row>
    <row r="62" spans="1:5" ht="15" customHeight="1" x14ac:dyDescent="0.25">
      <c r="A62" s="135" t="s">
        <v>40</v>
      </c>
      <c r="B62" s="84" t="s">
        <v>198</v>
      </c>
      <c r="C62" s="69">
        <v>10000</v>
      </c>
      <c r="D62" s="69">
        <f>C62/2</f>
        <v>5000</v>
      </c>
      <c r="E62" s="70">
        <f>IF(MROUND(9000*RPIM,50)&gt;$C62,$C62,MROUND(9000*RPIM,50))/2</f>
        <v>4550</v>
      </c>
    </row>
    <row r="63" spans="1:5" ht="15" customHeight="1" x14ac:dyDescent="0.25">
      <c r="A63" s="136"/>
      <c r="B63" s="46" t="s">
        <v>202</v>
      </c>
      <c r="C63" s="61">
        <v>15000</v>
      </c>
      <c r="D63" s="61">
        <f>C63/2</f>
        <v>7500</v>
      </c>
      <c r="E63" s="62">
        <f>IF(MROUND(15000*RPIM,500)&gt;$C63,$C63,MROUND(15000*RPIM,500))/2</f>
        <v>7500</v>
      </c>
    </row>
    <row r="64" spans="1:5" x14ac:dyDescent="0.25">
      <c r="A64" s="136"/>
      <c r="B64" s="46" t="s">
        <v>199</v>
      </c>
      <c r="C64" s="122">
        <v>9400</v>
      </c>
      <c r="D64" s="122" t="s">
        <v>119</v>
      </c>
      <c r="E64" s="137" t="s">
        <v>119</v>
      </c>
    </row>
    <row r="65" spans="1:5" ht="15" customHeight="1" x14ac:dyDescent="0.25">
      <c r="A65" s="136"/>
      <c r="B65" s="46" t="s">
        <v>200</v>
      </c>
      <c r="C65" s="122"/>
      <c r="D65" s="122"/>
      <c r="E65" s="138"/>
    </row>
    <row r="66" spans="1:5" x14ac:dyDescent="0.25">
      <c r="A66" s="136"/>
      <c r="B66" s="46" t="s">
        <v>141</v>
      </c>
      <c r="C66" s="122"/>
      <c r="D66" s="61">
        <f>C64/2</f>
        <v>4700</v>
      </c>
      <c r="E66" s="62">
        <f>IF(MROUND(9200*RPIM,50)&gt;$C64,$C66,MROUND(9200*RPIM,50))/2</f>
        <v>4650</v>
      </c>
    </row>
    <row r="67" spans="1:5" x14ac:dyDescent="0.25">
      <c r="A67" s="136"/>
      <c r="B67" s="46" t="s">
        <v>201</v>
      </c>
      <c r="C67" s="61">
        <v>28800</v>
      </c>
      <c r="D67" s="61">
        <f>C67/2</f>
        <v>14400</v>
      </c>
      <c r="E67" s="62">
        <f>IF(MROUND(27600*RPIM,500)&gt;$C67,$C67,MROUND(27600*RPIM,500))/2</f>
        <v>14000</v>
      </c>
    </row>
    <row r="68" spans="1:5" x14ac:dyDescent="0.25">
      <c r="A68" s="136"/>
      <c r="B68" s="46" t="s">
        <v>203</v>
      </c>
      <c r="C68" s="61">
        <v>9800</v>
      </c>
      <c r="D68" s="61" t="s">
        <v>119</v>
      </c>
      <c r="E68" s="62" t="s">
        <v>119</v>
      </c>
    </row>
    <row r="69" spans="1:5" x14ac:dyDescent="0.25">
      <c r="A69" s="136"/>
      <c r="B69" s="46" t="s">
        <v>144</v>
      </c>
      <c r="C69" s="61">
        <v>9000</v>
      </c>
      <c r="D69" s="61">
        <f>C69/2</f>
        <v>4500</v>
      </c>
      <c r="E69" s="62">
        <f>IF(MROUND(9000*RPIM,50)&gt;$C69,$C69,MROUND(9000*RPIM,50))/2</f>
        <v>4500</v>
      </c>
    </row>
    <row r="70" spans="1:5" ht="17.25" x14ac:dyDescent="0.25">
      <c r="A70" s="136"/>
      <c r="B70" s="46" t="s">
        <v>215</v>
      </c>
      <c r="C70" s="61">
        <v>7400</v>
      </c>
      <c r="D70" s="122" t="s">
        <v>119</v>
      </c>
      <c r="E70" s="123" t="s">
        <v>119</v>
      </c>
    </row>
    <row r="71" spans="1:5" x14ac:dyDescent="0.25">
      <c r="A71" s="136"/>
      <c r="B71" s="46" t="s">
        <v>204</v>
      </c>
      <c r="C71" s="61">
        <v>11700</v>
      </c>
      <c r="D71" s="122"/>
      <c r="E71" s="123"/>
    </row>
    <row r="72" spans="1:5" ht="15" customHeight="1" x14ac:dyDescent="0.25">
      <c r="A72" s="136"/>
      <c r="B72" s="46" t="s">
        <v>30</v>
      </c>
      <c r="C72" s="122">
        <v>9800</v>
      </c>
      <c r="D72" s="122"/>
      <c r="E72" s="123"/>
    </row>
    <row r="73" spans="1:5" x14ac:dyDescent="0.25">
      <c r="A73" s="136"/>
      <c r="B73" s="46" t="s">
        <v>205</v>
      </c>
      <c r="C73" s="122"/>
      <c r="D73" s="122"/>
      <c r="E73" s="123"/>
    </row>
    <row r="74" spans="1:5" x14ac:dyDescent="0.25">
      <c r="A74" s="136"/>
      <c r="B74" s="46" t="s">
        <v>206</v>
      </c>
      <c r="C74" s="122"/>
      <c r="D74" s="122"/>
      <c r="E74" s="123"/>
    </row>
    <row r="75" spans="1:5" ht="15.75" thickBot="1" x14ac:dyDescent="0.3">
      <c r="A75" s="140"/>
      <c r="B75" s="85" t="s">
        <v>207</v>
      </c>
      <c r="C75" s="64">
        <v>9200</v>
      </c>
      <c r="D75" s="64">
        <f>C75/2</f>
        <v>4600</v>
      </c>
      <c r="E75" s="65">
        <f>IF(MROUND(9000*RPIM,50)&gt;$C75,$C75,MROUND(9000*RPIM,50))/2</f>
        <v>4550</v>
      </c>
    </row>
    <row r="77" spans="1:5" ht="17.25" x14ac:dyDescent="0.25">
      <c r="A77" s="86" t="s">
        <v>31</v>
      </c>
      <c r="B77" s="113" t="s">
        <v>208</v>
      </c>
      <c r="C77" s="113"/>
      <c r="D77" s="113"/>
      <c r="E77" s="113"/>
    </row>
    <row r="78" spans="1:5" ht="7.5" customHeight="1" x14ac:dyDescent="0.25">
      <c r="A78" s="86" t="s">
        <v>32</v>
      </c>
      <c r="B78" s="113" t="s">
        <v>216</v>
      </c>
      <c r="C78" s="113"/>
      <c r="D78" s="113"/>
      <c r="E78" s="113"/>
    </row>
    <row r="79" spans="1:5" ht="30" customHeight="1" thickBot="1" x14ac:dyDescent="0.3"/>
    <row r="80" spans="1:5" ht="30" customHeight="1" thickBot="1" x14ac:dyDescent="0.3">
      <c r="A80" s="1"/>
      <c r="C80" s="80" t="s">
        <v>115</v>
      </c>
      <c r="D80" s="129" t="s">
        <v>118</v>
      </c>
      <c r="E80" s="130"/>
    </row>
    <row r="81" spans="1:5" ht="7.5" customHeight="1" thickBot="1" x14ac:dyDescent="0.3">
      <c r="A81" s="10"/>
      <c r="B81" s="81" t="s">
        <v>42</v>
      </c>
      <c r="C81" s="82" t="s">
        <v>116</v>
      </c>
      <c r="D81" s="82" t="s">
        <v>116</v>
      </c>
      <c r="E81" s="83" t="s">
        <v>117</v>
      </c>
    </row>
    <row r="82" spans="1:5" x14ac:dyDescent="0.25">
      <c r="A82" s="124" t="s">
        <v>225</v>
      </c>
      <c r="B82" s="89" t="s">
        <v>217</v>
      </c>
      <c r="C82" s="69">
        <v>45000</v>
      </c>
      <c r="D82" s="69" t="s">
        <v>119</v>
      </c>
      <c r="E82" s="70" t="s">
        <v>119</v>
      </c>
    </row>
    <row r="83" spans="1:5" ht="15" customHeight="1" x14ac:dyDescent="0.25">
      <c r="A83" s="125"/>
      <c r="B83" s="43" t="s">
        <v>226</v>
      </c>
      <c r="C83" s="131" t="s">
        <v>119</v>
      </c>
      <c r="D83" s="61">
        <f>55000/2</f>
        <v>27500</v>
      </c>
      <c r="E83" s="62">
        <f>46000/2</f>
        <v>23000</v>
      </c>
    </row>
    <row r="84" spans="1:5" ht="17.25" x14ac:dyDescent="0.25">
      <c r="A84" s="125"/>
      <c r="B84" s="43" t="s">
        <v>227</v>
      </c>
      <c r="C84" s="132"/>
      <c r="D84" s="61">
        <f>43500/2</f>
        <v>21750</v>
      </c>
      <c r="E84" s="62">
        <f>42000/2</f>
        <v>21000</v>
      </c>
    </row>
    <row r="85" spans="1:5" ht="15" customHeight="1" x14ac:dyDescent="0.25">
      <c r="A85" s="125"/>
      <c r="B85" s="43" t="s">
        <v>228</v>
      </c>
      <c r="C85" s="128"/>
      <c r="D85" s="61">
        <f>34000/2</f>
        <v>17000</v>
      </c>
      <c r="E85" s="62">
        <f>33000/2</f>
        <v>16500</v>
      </c>
    </row>
    <row r="86" spans="1:5" ht="15" customHeight="1" x14ac:dyDescent="0.25">
      <c r="A86" s="125"/>
      <c r="B86" s="43" t="s">
        <v>218</v>
      </c>
      <c r="C86" s="61">
        <v>15000</v>
      </c>
      <c r="D86" s="131" t="s">
        <v>119</v>
      </c>
      <c r="E86" s="137" t="s">
        <v>119</v>
      </c>
    </row>
    <row r="87" spans="1:5" ht="15" customHeight="1" x14ac:dyDescent="0.25">
      <c r="A87" s="125"/>
      <c r="B87" s="43" t="s">
        <v>219</v>
      </c>
      <c r="C87" s="131">
        <v>32000</v>
      </c>
      <c r="D87" s="132"/>
      <c r="E87" s="139"/>
    </row>
    <row r="88" spans="1:5" x14ac:dyDescent="0.25">
      <c r="A88" s="125"/>
      <c r="B88" s="43" t="s">
        <v>220</v>
      </c>
      <c r="C88" s="132"/>
      <c r="D88" s="132"/>
      <c r="E88" s="139"/>
    </row>
    <row r="89" spans="1:5" x14ac:dyDescent="0.25">
      <c r="A89" s="125"/>
      <c r="B89" s="43" t="s">
        <v>221</v>
      </c>
      <c r="C89" s="132"/>
      <c r="D89" s="132"/>
      <c r="E89" s="139"/>
    </row>
    <row r="90" spans="1:5" x14ac:dyDescent="0.25">
      <c r="A90" s="125"/>
      <c r="B90" s="43" t="s">
        <v>222</v>
      </c>
      <c r="C90" s="128"/>
      <c r="D90" s="128"/>
      <c r="E90" s="138"/>
    </row>
    <row r="91" spans="1:5" ht="15.75" thickBot="1" x14ac:dyDescent="0.3">
      <c r="A91" s="126"/>
      <c r="B91" s="90" t="s">
        <v>223</v>
      </c>
      <c r="C91" s="64">
        <v>26000</v>
      </c>
      <c r="D91" s="64" t="s">
        <v>119</v>
      </c>
      <c r="E91" s="65" t="s">
        <v>119</v>
      </c>
    </row>
    <row r="92" spans="1:5" ht="68.25" thickBot="1" x14ac:dyDescent="0.3">
      <c r="A92" s="91" t="s">
        <v>50</v>
      </c>
      <c r="B92" s="79" t="s">
        <v>224</v>
      </c>
      <c r="C92" s="75">
        <v>9400</v>
      </c>
      <c r="D92" s="75">
        <f>C92/2</f>
        <v>4700</v>
      </c>
      <c r="E92" s="76">
        <f>IF(MROUND(9200*RPIM,50)&gt;$C92,$C92,MROUND(9200*RPIM,50))/2</f>
        <v>4650</v>
      </c>
    </row>
    <row r="94" spans="1:5" ht="75" customHeight="1" x14ac:dyDescent="0.25">
      <c r="A94" s="86" t="s">
        <v>31</v>
      </c>
      <c r="B94" s="113" t="s">
        <v>229</v>
      </c>
      <c r="C94" s="113"/>
      <c r="D94" s="113"/>
      <c r="E94" s="113"/>
    </row>
    <row r="95" spans="1:5" ht="7.5" customHeight="1" x14ac:dyDescent="0.25"/>
    <row r="96" spans="1:5" ht="30" customHeight="1" x14ac:dyDescent="0.25"/>
  </sheetData>
  <mergeCells count="47">
    <mergeCell ref="C87:C90"/>
    <mergeCell ref="E86:E90"/>
    <mergeCell ref="D86:D90"/>
    <mergeCell ref="B94:E94"/>
    <mergeCell ref="A62:A75"/>
    <mergeCell ref="D80:E80"/>
    <mergeCell ref="A82:A91"/>
    <mergeCell ref="C83:C85"/>
    <mergeCell ref="D64:D65"/>
    <mergeCell ref="C72:C74"/>
    <mergeCell ref="C64:C66"/>
    <mergeCell ref="E70:E74"/>
    <mergeCell ref="D70:D74"/>
    <mergeCell ref="E64:E65"/>
    <mergeCell ref="B77:E77"/>
    <mergeCell ref="B78:E78"/>
    <mergeCell ref="A37:A61"/>
    <mergeCell ref="E40:E41"/>
    <mergeCell ref="E48:E50"/>
    <mergeCell ref="E58:E59"/>
    <mergeCell ref="E56:E57"/>
    <mergeCell ref="E51:E52"/>
    <mergeCell ref="D56:D57"/>
    <mergeCell ref="D35:E35"/>
    <mergeCell ref="C45:C60"/>
    <mergeCell ref="C37:C41"/>
    <mergeCell ref="C42:C43"/>
    <mergeCell ref="D40:D41"/>
    <mergeCell ref="D53:D54"/>
    <mergeCell ref="D59:D60"/>
    <mergeCell ref="B31:E31"/>
    <mergeCell ref="B32:E32"/>
    <mergeCell ref="B33:E33"/>
    <mergeCell ref="C21:C23"/>
    <mergeCell ref="C16:C17"/>
    <mergeCell ref="E26:E27"/>
    <mergeCell ref="D26:D27"/>
    <mergeCell ref="C26:C27"/>
    <mergeCell ref="A6:A27"/>
    <mergeCell ref="B29:E29"/>
    <mergeCell ref="B30:E30"/>
    <mergeCell ref="C6:C7"/>
    <mergeCell ref="D4:E4"/>
    <mergeCell ref="B2:E2"/>
    <mergeCell ref="C8:C10"/>
    <mergeCell ref="E19:E20"/>
    <mergeCell ref="D19:D20"/>
  </mergeCells>
  <pageMargins left="0.70866141732283472" right="0.70866141732283472" top="0.70866141732283472" bottom="0.70866141732283472" header="0.31496062992125984" footer="0.31496062992125984"/>
  <pageSetup paperSize="9" orientation="portrait" r:id="rId1"/>
  <rowBreaks count="2" manualBreakCount="2">
    <brk id="35" max="16383" man="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6EFCE"/>
  </sheetPr>
  <dimension ref="A1:E94"/>
  <sheetViews>
    <sheetView topLeftCell="A34" zoomScaleNormal="100" workbookViewId="0">
      <selection activeCell="E61" sqref="E61"/>
    </sheetView>
  </sheetViews>
  <sheetFormatPr defaultRowHeight="15" x14ac:dyDescent="0.25"/>
  <cols>
    <col min="1" max="1" width="3.85546875" bestFit="1" customWidth="1"/>
    <col min="2" max="2" width="49.140625" customWidth="1"/>
    <col min="3" max="5" width="11.42578125" customWidth="1"/>
  </cols>
  <sheetData>
    <row r="1" spans="1:5" ht="7.5" customHeight="1" x14ac:dyDescent="0.25"/>
    <row r="2" spans="1:5" ht="30" customHeight="1" x14ac:dyDescent="0.25">
      <c r="B2" s="121" t="s">
        <v>290</v>
      </c>
      <c r="C2" s="121"/>
      <c r="D2" s="121"/>
      <c r="E2" s="121"/>
    </row>
    <row r="3" spans="1:5" s="1" customFormat="1" ht="7.5" customHeight="1" thickBot="1" x14ac:dyDescent="0.3"/>
    <row r="4" spans="1:5" ht="15.75" thickBot="1" x14ac:dyDescent="0.3">
      <c r="C4" s="55" t="s">
        <v>115</v>
      </c>
      <c r="D4" s="141" t="s">
        <v>118</v>
      </c>
      <c r="E4" s="142"/>
    </row>
    <row r="5" spans="1:5" ht="30" customHeight="1" thickBot="1" x14ac:dyDescent="0.3">
      <c r="A5" s="10"/>
      <c r="B5" s="18" t="s">
        <v>42</v>
      </c>
      <c r="C5" s="53" t="s">
        <v>116</v>
      </c>
      <c r="D5" s="53" t="s">
        <v>116</v>
      </c>
      <c r="E5" s="54" t="s">
        <v>117</v>
      </c>
    </row>
    <row r="6" spans="1:5" x14ac:dyDescent="0.25">
      <c r="A6" s="124" t="s">
        <v>39</v>
      </c>
      <c r="B6" s="84" t="s">
        <v>15</v>
      </c>
      <c r="C6" s="127">
        <v>27900</v>
      </c>
      <c r="D6" s="69">
        <f>C6/2</f>
        <v>13950</v>
      </c>
      <c r="E6" s="70">
        <f>IF(MROUND(27100*RPIM,500)&gt;$C6,$C6,MROUND(27100*RPIM,500))/2</f>
        <v>13750</v>
      </c>
    </row>
    <row r="7" spans="1:5" x14ac:dyDescent="0.25">
      <c r="A7" s="125"/>
      <c r="B7" s="46" t="s">
        <v>16</v>
      </c>
      <c r="C7" s="128"/>
      <c r="D7" s="61" t="s">
        <v>119</v>
      </c>
      <c r="E7" s="62" t="s">
        <v>119</v>
      </c>
    </row>
    <row r="8" spans="1:5" ht="30" customHeight="1" x14ac:dyDescent="0.25">
      <c r="A8" s="125"/>
      <c r="B8" s="46" t="s">
        <v>160</v>
      </c>
      <c r="C8" s="122" t="s">
        <v>119</v>
      </c>
      <c r="D8" s="61">
        <v>2790</v>
      </c>
      <c r="E8" s="62">
        <f>IF(MROUND(27000*RPIM,500)&gt;$D8*10,$D8,MROUND(27000*RPIM,500)/10)</f>
        <v>2750</v>
      </c>
    </row>
    <row r="9" spans="1:5" ht="30" customHeight="1" x14ac:dyDescent="0.25">
      <c r="A9" s="125"/>
      <c r="B9" s="46" t="s">
        <v>161</v>
      </c>
      <c r="C9" s="122"/>
      <c r="D9" s="61">
        <v>2790</v>
      </c>
      <c r="E9" s="62">
        <f>IF(MROUND(27000*RPIM,500)&gt;$D9*10,$D9,MROUND(27000*RPIM,500)/10)</f>
        <v>2750</v>
      </c>
    </row>
    <row r="10" spans="1:5" ht="30" customHeight="1" x14ac:dyDescent="0.25">
      <c r="A10" s="125"/>
      <c r="B10" s="46" t="s">
        <v>179</v>
      </c>
      <c r="C10" s="122"/>
      <c r="D10" s="61">
        <v>5580</v>
      </c>
      <c r="E10" s="62">
        <f>IF(MROUND(27000*RPIM,500)&gt;$D10*10,$D10,MROUND(27000*RPIM,500)/5)</f>
        <v>5500</v>
      </c>
    </row>
    <row r="11" spans="1:5" ht="15" customHeight="1" x14ac:dyDescent="0.25">
      <c r="A11" s="125"/>
      <c r="B11" s="46" t="s">
        <v>152</v>
      </c>
      <c r="C11" s="61">
        <v>27900</v>
      </c>
      <c r="D11" s="61">
        <f>C11/2</f>
        <v>13950</v>
      </c>
      <c r="E11" s="62">
        <f>IF(MROUND(27100*RPIM,500)&gt;$C11,$C11,MROUND(27100*RPIM,500))/2</f>
        <v>13750</v>
      </c>
    </row>
    <row r="12" spans="1:5" ht="15" customHeight="1" x14ac:dyDescent="0.25">
      <c r="A12" s="125"/>
      <c r="B12" s="46" t="s">
        <v>151</v>
      </c>
      <c r="C12" s="61">
        <v>31000</v>
      </c>
      <c r="D12" s="61">
        <f>C12/2</f>
        <v>15500</v>
      </c>
      <c r="E12" s="62">
        <f>IF(MROUND(30100*RPIM,500)&gt;$C12,$C12,MROUND(30100*RPIM,500))/2</f>
        <v>15250</v>
      </c>
    </row>
    <row r="13" spans="1:5" ht="15" customHeight="1" x14ac:dyDescent="0.25">
      <c r="A13" s="125"/>
      <c r="B13" s="46" t="s">
        <v>153</v>
      </c>
      <c r="C13" s="61">
        <v>27900</v>
      </c>
      <c r="D13" s="61">
        <f>C13/2</f>
        <v>13950</v>
      </c>
      <c r="E13" s="62">
        <f>IF(MROUND(27100*RPIM,500)&gt;$C13,$C13,MROUND(27100*RPIM,500))/2</f>
        <v>13750</v>
      </c>
    </row>
    <row r="14" spans="1:5" ht="15" customHeight="1" x14ac:dyDescent="0.25">
      <c r="A14" s="125"/>
      <c r="B14" s="46" t="s">
        <v>162</v>
      </c>
      <c r="C14" s="61" t="s">
        <v>119</v>
      </c>
      <c r="D14" s="61">
        <f>ROUND(C13/3,0)</f>
        <v>9300</v>
      </c>
      <c r="E14" s="62">
        <f>ROUND((E13*2)/3,0)</f>
        <v>9167</v>
      </c>
    </row>
    <row r="15" spans="1:5" ht="15" customHeight="1" x14ac:dyDescent="0.25">
      <c r="A15" s="125"/>
      <c r="B15" s="46" t="s">
        <v>154</v>
      </c>
      <c r="C15" s="61">
        <v>28200</v>
      </c>
      <c r="D15" s="61" t="s">
        <v>119</v>
      </c>
      <c r="E15" s="62" t="s">
        <v>119</v>
      </c>
    </row>
    <row r="16" spans="1:5" ht="15" customHeight="1" x14ac:dyDescent="0.25">
      <c r="A16" s="125"/>
      <c r="B16" s="46" t="s">
        <v>163</v>
      </c>
      <c r="C16" s="131" t="s">
        <v>119</v>
      </c>
      <c r="D16" s="61">
        <f>C15/10</f>
        <v>2820</v>
      </c>
      <c r="E16" s="62">
        <f>IF(MROUND(27100*RPIM,500)&gt;$C15,$C15,MROUND(27100*RPIM,500))/10</f>
        <v>2750</v>
      </c>
    </row>
    <row r="17" spans="1:5" ht="15" customHeight="1" x14ac:dyDescent="0.25">
      <c r="A17" s="125"/>
      <c r="B17" s="46" t="s">
        <v>167</v>
      </c>
      <c r="C17" s="128"/>
      <c r="D17" s="61">
        <f>C15/5</f>
        <v>5640</v>
      </c>
      <c r="E17" s="62">
        <f>IF(MROUND(27100*RPIM,500)&gt;$C15,$C15,MROUND(27100*RPIM,500))/5</f>
        <v>5500</v>
      </c>
    </row>
    <row r="18" spans="1:5" ht="15" customHeight="1" x14ac:dyDescent="0.25">
      <c r="A18" s="125"/>
      <c r="B18" s="46" t="s">
        <v>155</v>
      </c>
      <c r="C18" s="61">
        <v>28200</v>
      </c>
      <c r="D18" s="61" t="s">
        <v>119</v>
      </c>
      <c r="E18" s="62" t="s">
        <v>119</v>
      </c>
    </row>
    <row r="19" spans="1:5" ht="15" customHeight="1" x14ac:dyDescent="0.25">
      <c r="A19" s="125"/>
      <c r="B19" s="46" t="s">
        <v>156</v>
      </c>
      <c r="C19" s="61">
        <v>31500</v>
      </c>
      <c r="D19" s="122" t="s">
        <v>119</v>
      </c>
      <c r="E19" s="123" t="s">
        <v>119</v>
      </c>
    </row>
    <row r="20" spans="1:5" ht="15" customHeight="1" x14ac:dyDescent="0.25">
      <c r="A20" s="125"/>
      <c r="B20" s="46" t="s">
        <v>157</v>
      </c>
      <c r="C20" s="61">
        <v>31500</v>
      </c>
      <c r="D20" s="122"/>
      <c r="E20" s="123"/>
    </row>
    <row r="21" spans="1:5" ht="15" customHeight="1" x14ac:dyDescent="0.25">
      <c r="A21" s="125"/>
      <c r="B21" s="46" t="s">
        <v>23</v>
      </c>
      <c r="C21" s="131">
        <v>27900</v>
      </c>
      <c r="D21" s="61">
        <f>C21/2</f>
        <v>13950</v>
      </c>
      <c r="E21" s="62">
        <f>IF(MROUND(27100*RPIM,500)&gt;$C21,$C21,MROUND(27100*RPIM,500))/2</f>
        <v>13750</v>
      </c>
    </row>
    <row r="22" spans="1:5" ht="15" customHeight="1" x14ac:dyDescent="0.25">
      <c r="A22" s="125"/>
      <c r="B22" s="46" t="s">
        <v>24</v>
      </c>
      <c r="C22" s="132"/>
      <c r="D22" s="61" t="s">
        <v>119</v>
      </c>
      <c r="E22" s="62" t="s">
        <v>119</v>
      </c>
    </row>
    <row r="23" spans="1:5" ht="15" customHeight="1" x14ac:dyDescent="0.25">
      <c r="A23" s="125"/>
      <c r="B23" s="46" t="s">
        <v>25</v>
      </c>
      <c r="C23" s="128"/>
      <c r="D23" s="61">
        <f>C21/2</f>
        <v>13950</v>
      </c>
      <c r="E23" s="62">
        <f>IF(MROUND(27100*RPIM,500)&gt;$C21,$C21,MROUND(27100*RPIM,500))/2</f>
        <v>13750</v>
      </c>
    </row>
    <row r="24" spans="1:5" ht="15" customHeight="1" x14ac:dyDescent="0.25">
      <c r="A24" s="125"/>
      <c r="B24" s="46" t="s">
        <v>164</v>
      </c>
      <c r="C24" s="61" t="s">
        <v>119</v>
      </c>
      <c r="D24" s="61">
        <f>ROUND(C21/3,0)</f>
        <v>9300</v>
      </c>
      <c r="E24" s="62">
        <f>ROUND((E23*2)/3,0)</f>
        <v>9167</v>
      </c>
    </row>
    <row r="25" spans="1:5" ht="15" customHeight="1" x14ac:dyDescent="0.25">
      <c r="A25" s="125"/>
      <c r="B25" s="46" t="s">
        <v>158</v>
      </c>
      <c r="C25" s="61">
        <v>27900</v>
      </c>
      <c r="D25" s="61" t="s">
        <v>119</v>
      </c>
      <c r="E25" s="62" t="s">
        <v>119</v>
      </c>
    </row>
    <row r="26" spans="1:5" ht="15" customHeight="1" x14ac:dyDescent="0.25">
      <c r="A26" s="125"/>
      <c r="B26" s="46" t="s">
        <v>165</v>
      </c>
      <c r="C26" s="122" t="s">
        <v>159</v>
      </c>
      <c r="D26" s="122" t="s">
        <v>119</v>
      </c>
      <c r="E26" s="123" t="s">
        <v>119</v>
      </c>
    </row>
    <row r="27" spans="1:5" ht="16.5" customHeight="1" thickBot="1" x14ac:dyDescent="0.3">
      <c r="A27" s="126"/>
      <c r="B27" s="85" t="s">
        <v>166</v>
      </c>
      <c r="C27" s="134"/>
      <c r="D27" s="134"/>
      <c r="E27" s="133"/>
    </row>
    <row r="28" spans="1:5" ht="7.5" customHeight="1" x14ac:dyDescent="0.25">
      <c r="A28" s="1"/>
      <c r="B28" s="8"/>
      <c r="C28" s="56"/>
      <c r="D28" s="56"/>
      <c r="E28" s="56"/>
    </row>
    <row r="29" spans="1:5" ht="30" customHeight="1" x14ac:dyDescent="0.25">
      <c r="A29" s="86" t="s">
        <v>31</v>
      </c>
      <c r="B29" s="113" t="s">
        <v>178</v>
      </c>
      <c r="C29" s="113"/>
      <c r="D29" s="113"/>
      <c r="E29" s="113"/>
    </row>
    <row r="30" spans="1:5" ht="15" customHeight="1" x14ac:dyDescent="0.25">
      <c r="A30" s="86" t="s">
        <v>32</v>
      </c>
      <c r="B30" s="113" t="s">
        <v>177</v>
      </c>
      <c r="C30" s="113"/>
      <c r="D30" s="113"/>
      <c r="E30" s="113"/>
    </row>
    <row r="31" spans="1:5" ht="15" customHeight="1" x14ac:dyDescent="0.25">
      <c r="A31" s="86" t="s">
        <v>168</v>
      </c>
      <c r="B31" s="113" t="s">
        <v>176</v>
      </c>
      <c r="C31" s="113"/>
      <c r="D31" s="113"/>
      <c r="E31" s="113"/>
    </row>
    <row r="32" spans="1:5" ht="15" customHeight="1" x14ac:dyDescent="0.25">
      <c r="A32" s="86" t="s">
        <v>169</v>
      </c>
      <c r="B32" s="113" t="s">
        <v>172</v>
      </c>
      <c r="C32" s="113"/>
      <c r="D32" s="113"/>
      <c r="E32" s="113"/>
    </row>
    <row r="33" spans="1:5" ht="30" customHeight="1" x14ac:dyDescent="0.25">
      <c r="A33" s="86" t="s">
        <v>170</v>
      </c>
      <c r="B33" s="113" t="s">
        <v>171</v>
      </c>
      <c r="C33" s="113"/>
      <c r="D33" s="113"/>
      <c r="E33" s="113"/>
    </row>
    <row r="34" spans="1:5" ht="7.5" customHeight="1" thickBot="1" x14ac:dyDescent="0.3">
      <c r="A34" s="1"/>
      <c r="B34" s="1"/>
      <c r="C34" s="1"/>
      <c r="D34" s="1"/>
      <c r="E34" s="1"/>
    </row>
    <row r="35" spans="1:5" ht="15.75" thickBot="1" x14ac:dyDescent="0.3">
      <c r="A35" s="1"/>
      <c r="B35" s="8"/>
      <c r="C35" s="80" t="s">
        <v>115</v>
      </c>
      <c r="D35" s="129" t="s">
        <v>118</v>
      </c>
      <c r="E35" s="130"/>
    </row>
    <row r="36" spans="1:5" ht="30" customHeight="1" thickBot="1" x14ac:dyDescent="0.3">
      <c r="A36" s="10"/>
      <c r="B36" s="81" t="s">
        <v>42</v>
      </c>
      <c r="C36" s="82" t="s">
        <v>116</v>
      </c>
      <c r="D36" s="82" t="s">
        <v>116</v>
      </c>
      <c r="E36" s="83" t="s">
        <v>117</v>
      </c>
    </row>
    <row r="37" spans="1:5" ht="15" customHeight="1" x14ac:dyDescent="0.25">
      <c r="A37" s="135" t="s">
        <v>33</v>
      </c>
      <c r="B37" s="84" t="s">
        <v>180</v>
      </c>
      <c r="C37" s="127" t="s">
        <v>119</v>
      </c>
      <c r="D37" s="69">
        <v>10050</v>
      </c>
      <c r="E37" s="70">
        <v>9900</v>
      </c>
    </row>
    <row r="38" spans="1:5" ht="15" customHeight="1" x14ac:dyDescent="0.25">
      <c r="A38" s="136"/>
      <c r="B38" s="46" t="s">
        <v>197</v>
      </c>
      <c r="C38" s="132"/>
      <c r="D38" s="61">
        <v>6650</v>
      </c>
      <c r="E38" s="62">
        <v>6650</v>
      </c>
    </row>
    <row r="39" spans="1:5" ht="15" customHeight="1" x14ac:dyDescent="0.25">
      <c r="A39" s="136"/>
      <c r="B39" s="46" t="s">
        <v>183</v>
      </c>
      <c r="C39" s="132"/>
      <c r="D39" s="61">
        <f>29700-SUM(D37:D38)</f>
        <v>13000</v>
      </c>
      <c r="E39" s="62">
        <f>IF(MROUND(29100*RPIM,500)&gt;$C61,$C61,MROUND(29100*RPIM,500)-SUM(E37:E38))</f>
        <v>12950</v>
      </c>
    </row>
    <row r="40" spans="1:5" ht="15" customHeight="1" x14ac:dyDescent="0.25">
      <c r="A40" s="136"/>
      <c r="B40" s="46" t="s">
        <v>191</v>
      </c>
      <c r="C40" s="132"/>
      <c r="D40" s="131">
        <v>14850</v>
      </c>
      <c r="E40" s="137">
        <f>MROUND(29100*RPIM,500)/2</f>
        <v>14750</v>
      </c>
    </row>
    <row r="41" spans="1:5" ht="15" customHeight="1" x14ac:dyDescent="0.25">
      <c r="A41" s="136"/>
      <c r="B41" s="46" t="s">
        <v>193</v>
      </c>
      <c r="C41" s="128"/>
      <c r="D41" s="128"/>
      <c r="E41" s="138"/>
    </row>
    <row r="42" spans="1:5" ht="15" customHeight="1" x14ac:dyDescent="0.25">
      <c r="A42" s="136"/>
      <c r="B42" s="46" t="s">
        <v>194</v>
      </c>
      <c r="C42" s="61">
        <v>14850</v>
      </c>
      <c r="D42" s="61">
        <v>14850</v>
      </c>
      <c r="E42" s="62">
        <f>MROUND(29100*RPIM,500)/2</f>
        <v>14750</v>
      </c>
    </row>
    <row r="43" spans="1:5" ht="15" customHeight="1" x14ac:dyDescent="0.25">
      <c r="A43" s="136"/>
      <c r="B43" s="46" t="s">
        <v>209</v>
      </c>
      <c r="C43" s="61">
        <v>7425</v>
      </c>
      <c r="D43" s="61">
        <f>ROUND(C43/2,0)</f>
        <v>3713</v>
      </c>
      <c r="E43" s="62">
        <f>ROUND(IF(MROUND(29100*RPIM,500)&gt;$C44,$C44,MROUND(29100*RPIM,500))/6,0)</f>
        <v>4917</v>
      </c>
    </row>
    <row r="44" spans="1:5" ht="15" customHeight="1" x14ac:dyDescent="0.25">
      <c r="A44" s="136"/>
      <c r="B44" s="46" t="s">
        <v>195</v>
      </c>
      <c r="C44" s="61">
        <v>29700</v>
      </c>
      <c r="D44" s="61">
        <f>C44/2</f>
        <v>14850</v>
      </c>
      <c r="E44" s="62">
        <f>ROUND(IF(MROUND(29100*RPIM,500)&gt;$C44,$C44,MROUND(29100*RPIM,500))/2,0)</f>
        <v>14750</v>
      </c>
    </row>
    <row r="45" spans="1:5" ht="15" customHeight="1" x14ac:dyDescent="0.25">
      <c r="A45" s="136"/>
      <c r="B45" s="46" t="s">
        <v>181</v>
      </c>
      <c r="C45" s="131" t="s">
        <v>119</v>
      </c>
      <c r="D45" s="61">
        <v>10050</v>
      </c>
      <c r="E45" s="62">
        <v>9900</v>
      </c>
    </row>
    <row r="46" spans="1:5" ht="15" customHeight="1" x14ac:dyDescent="0.25">
      <c r="A46" s="136"/>
      <c r="B46" s="46" t="s">
        <v>196</v>
      </c>
      <c r="C46" s="132"/>
      <c r="D46" s="61">
        <v>6650</v>
      </c>
      <c r="E46" s="62">
        <v>6650</v>
      </c>
    </row>
    <row r="47" spans="1:5" ht="15" customHeight="1" x14ac:dyDescent="0.25">
      <c r="A47" s="136"/>
      <c r="B47" s="46" t="s">
        <v>184</v>
      </c>
      <c r="C47" s="132"/>
      <c r="D47" s="61">
        <f>29700-SUM(D45:D46)</f>
        <v>13000</v>
      </c>
      <c r="E47" s="62">
        <f>IF(MROUND(29100*RPIM,500)&gt;$C61,$C61,MROUND(29100*RPIM,500)-SUM(E45:E46))</f>
        <v>12950</v>
      </c>
    </row>
    <row r="48" spans="1:5" ht="15" customHeight="1" x14ac:dyDescent="0.25">
      <c r="A48" s="136"/>
      <c r="B48" s="46" t="s">
        <v>186</v>
      </c>
      <c r="C48" s="132"/>
      <c r="D48" s="61">
        <v>19500</v>
      </c>
      <c r="E48" s="137" t="s">
        <v>119</v>
      </c>
    </row>
    <row r="49" spans="1:5" ht="15" customHeight="1" x14ac:dyDescent="0.25">
      <c r="A49" s="136"/>
      <c r="B49" s="46" t="s">
        <v>210</v>
      </c>
      <c r="C49" s="132"/>
      <c r="D49" s="61">
        <v>4800</v>
      </c>
      <c r="E49" s="139"/>
    </row>
    <row r="50" spans="1:5" ht="15" customHeight="1" x14ac:dyDescent="0.25">
      <c r="A50" s="136"/>
      <c r="B50" s="46" t="s">
        <v>211</v>
      </c>
      <c r="C50" s="132"/>
      <c r="D50" s="61">
        <f>29700-SUM(D48:D49)</f>
        <v>5400</v>
      </c>
      <c r="E50" s="138"/>
    </row>
    <row r="51" spans="1:5" ht="15" customHeight="1" x14ac:dyDescent="0.25">
      <c r="A51" s="136"/>
      <c r="B51" s="46" t="s">
        <v>192</v>
      </c>
      <c r="C51" s="132"/>
      <c r="D51" s="61">
        <v>14850</v>
      </c>
      <c r="E51" s="137">
        <f>ROUND(MROUND(29100*RPIM,500)/3,0)</f>
        <v>9833</v>
      </c>
    </row>
    <row r="52" spans="1:5" ht="15" customHeight="1" x14ac:dyDescent="0.25">
      <c r="A52" s="136"/>
      <c r="B52" s="46" t="s">
        <v>212</v>
      </c>
      <c r="C52" s="132"/>
      <c r="D52" s="61">
        <v>7425</v>
      </c>
      <c r="E52" s="138"/>
    </row>
    <row r="53" spans="1:5" ht="15" customHeight="1" x14ac:dyDescent="0.25">
      <c r="A53" s="136"/>
      <c r="B53" s="46" t="s">
        <v>182</v>
      </c>
      <c r="C53" s="132"/>
      <c r="D53" s="131">
        <v>14850</v>
      </c>
      <c r="E53" s="137">
        <f>IF(MROUND(29100*RPIM,500)&gt;$C61,$C61,MROUND(29100*RPIM,500))/2</f>
        <v>14750</v>
      </c>
    </row>
    <row r="54" spans="1:5" ht="15" customHeight="1" x14ac:dyDescent="0.25">
      <c r="A54" s="136"/>
      <c r="B54" s="46" t="s">
        <v>190</v>
      </c>
      <c r="C54" s="132"/>
      <c r="D54" s="128"/>
      <c r="E54" s="138"/>
    </row>
    <row r="55" spans="1:5" ht="15" customHeight="1" x14ac:dyDescent="0.25">
      <c r="A55" s="136"/>
      <c r="B55" s="46" t="s">
        <v>185</v>
      </c>
      <c r="C55" s="132"/>
      <c r="D55" s="61">
        <v>19800</v>
      </c>
      <c r="E55" s="62">
        <v>19750</v>
      </c>
    </row>
    <row r="56" spans="1:5" ht="15" customHeight="1" x14ac:dyDescent="0.25">
      <c r="A56" s="136"/>
      <c r="B56" s="46" t="s">
        <v>213</v>
      </c>
      <c r="C56" s="132"/>
      <c r="D56" s="131">
        <v>5000</v>
      </c>
      <c r="E56" s="137">
        <f>(IF(MROUND(29100*RPIM,500)&gt;$C61,$C61,MROUND(29100*RPIM,500))-E55)/2</f>
        <v>4875</v>
      </c>
    </row>
    <row r="57" spans="1:5" ht="15" customHeight="1" x14ac:dyDescent="0.25">
      <c r="A57" s="136"/>
      <c r="B57" s="46" t="s">
        <v>214</v>
      </c>
      <c r="C57" s="132"/>
      <c r="D57" s="128"/>
      <c r="E57" s="138"/>
    </row>
    <row r="58" spans="1:5" ht="15" customHeight="1" x14ac:dyDescent="0.25">
      <c r="A58" s="136"/>
      <c r="B58" s="46" t="s">
        <v>187</v>
      </c>
      <c r="C58" s="132"/>
      <c r="D58" s="61">
        <v>23800</v>
      </c>
      <c r="E58" s="137" t="s">
        <v>119</v>
      </c>
    </row>
    <row r="59" spans="1:5" ht="15" customHeight="1" x14ac:dyDescent="0.25">
      <c r="A59" s="136"/>
      <c r="B59" s="46" t="s">
        <v>188</v>
      </c>
      <c r="C59" s="132"/>
      <c r="D59" s="61">
        <f>29700/2</f>
        <v>14850</v>
      </c>
      <c r="E59" s="138"/>
    </row>
    <row r="60" spans="1:5" ht="15" customHeight="1" x14ac:dyDescent="0.25">
      <c r="A60" s="136"/>
      <c r="B60" s="46" t="s">
        <v>189</v>
      </c>
      <c r="C60" s="128"/>
      <c r="D60" s="61">
        <f>24200/2</f>
        <v>12100</v>
      </c>
      <c r="E60" s="62">
        <f>IF(MROUND((11850*2)*RPIM,500)&gt;$D60*2,$D60,MROUND((11850*2)*RPIM,500))/2</f>
        <v>12000</v>
      </c>
    </row>
    <row r="61" spans="1:5" ht="15" customHeight="1" thickBot="1" x14ac:dyDescent="0.3">
      <c r="A61" s="136"/>
      <c r="B61" s="88" t="s">
        <v>122</v>
      </c>
      <c r="C61" s="67">
        <v>29700</v>
      </c>
      <c r="D61" s="67">
        <f>C61/2</f>
        <v>14850</v>
      </c>
      <c r="E61" s="68">
        <f>MROUND(29100*RPIM,500)/2</f>
        <v>14750</v>
      </c>
    </row>
    <row r="62" spans="1:5" ht="15" customHeight="1" x14ac:dyDescent="0.25">
      <c r="A62" s="135" t="s">
        <v>40</v>
      </c>
      <c r="B62" s="84" t="s">
        <v>198</v>
      </c>
      <c r="C62" s="69">
        <v>25500</v>
      </c>
      <c r="D62" s="69">
        <f>C62/2</f>
        <v>12750</v>
      </c>
      <c r="E62" s="70">
        <f>IF(MROUND(24500*RPIM,500)&gt;$C62,$C62,MROUND(24500*RPIM,500))/2</f>
        <v>12500</v>
      </c>
    </row>
    <row r="63" spans="1:5" ht="15" customHeight="1" x14ac:dyDescent="0.25">
      <c r="A63" s="136"/>
      <c r="B63" s="46" t="s">
        <v>202</v>
      </c>
      <c r="C63" s="61">
        <v>15000</v>
      </c>
      <c r="D63" s="61">
        <f>C63/2</f>
        <v>7500</v>
      </c>
      <c r="E63" s="62">
        <f>IF(MROUND(15000*RPIM,500)&gt;$C63,$C63,MROUND(15000*RPIM,500))/2</f>
        <v>7500</v>
      </c>
    </row>
    <row r="64" spans="1:5" ht="15" customHeight="1" x14ac:dyDescent="0.25">
      <c r="A64" s="136"/>
      <c r="B64" s="46" t="s">
        <v>199</v>
      </c>
      <c r="C64" s="131">
        <v>26700</v>
      </c>
      <c r="D64" s="122" t="s">
        <v>119</v>
      </c>
      <c r="E64" s="137" t="s">
        <v>119</v>
      </c>
    </row>
    <row r="65" spans="1:5" ht="15" customHeight="1" x14ac:dyDescent="0.25">
      <c r="A65" s="136"/>
      <c r="B65" s="46" t="s">
        <v>200</v>
      </c>
      <c r="C65" s="128"/>
      <c r="D65" s="122"/>
      <c r="E65" s="138"/>
    </row>
    <row r="66" spans="1:5" ht="15" customHeight="1" x14ac:dyDescent="0.25">
      <c r="A66" s="136"/>
      <c r="B66" s="46" t="s">
        <v>141</v>
      </c>
      <c r="C66" s="61">
        <v>19200</v>
      </c>
      <c r="D66" s="61">
        <f>C66/2</f>
        <v>9600</v>
      </c>
      <c r="E66" s="62">
        <f>IF(MROUND(18800*RPIM,500)&gt;$C66,$C66,MROUND(18800*RPIM,500))/2</f>
        <v>9500</v>
      </c>
    </row>
    <row r="67" spans="1:5" ht="15" customHeight="1" x14ac:dyDescent="0.25">
      <c r="A67" s="136"/>
      <c r="B67" s="46" t="s">
        <v>201</v>
      </c>
      <c r="C67" s="61">
        <v>28800</v>
      </c>
      <c r="D67" s="61">
        <f>C67/2</f>
        <v>14400</v>
      </c>
      <c r="E67" s="62">
        <f>IF(MROUND(27600*RPIM,500)&gt;$C67,$C67,MROUND(27600*RPIM,500))/2</f>
        <v>14000</v>
      </c>
    </row>
    <row r="68" spans="1:5" ht="15" customHeight="1" x14ac:dyDescent="0.25">
      <c r="A68" s="136"/>
      <c r="B68" s="46" t="s">
        <v>203</v>
      </c>
      <c r="C68" s="61">
        <v>24500</v>
      </c>
      <c r="D68" s="61" t="s">
        <v>119</v>
      </c>
      <c r="E68" s="62" t="s">
        <v>119</v>
      </c>
    </row>
    <row r="69" spans="1:5" ht="15" customHeight="1" x14ac:dyDescent="0.25">
      <c r="A69" s="136"/>
      <c r="B69" s="46" t="s">
        <v>144</v>
      </c>
      <c r="C69" s="61">
        <v>24000</v>
      </c>
      <c r="D69" s="61">
        <f>C69/2</f>
        <v>12000</v>
      </c>
      <c r="E69" s="62">
        <f>IF(MROUND(23500*RPIM,500)&gt;$C69,$C69,MROUND(23500*RPIM,500))/2</f>
        <v>12000</v>
      </c>
    </row>
    <row r="70" spans="1:5" ht="15" customHeight="1" x14ac:dyDescent="0.25">
      <c r="A70" s="136"/>
      <c r="B70" s="46" t="s">
        <v>215</v>
      </c>
      <c r="C70" s="61">
        <v>18800</v>
      </c>
      <c r="D70" s="122" t="s">
        <v>119</v>
      </c>
      <c r="E70" s="123" t="s">
        <v>119</v>
      </c>
    </row>
    <row r="71" spans="1:5" ht="15" customHeight="1" x14ac:dyDescent="0.25">
      <c r="A71" s="136"/>
      <c r="B71" s="46" t="s">
        <v>204</v>
      </c>
      <c r="C71" s="61">
        <v>28500</v>
      </c>
      <c r="D71" s="122"/>
      <c r="E71" s="123"/>
    </row>
    <row r="72" spans="1:5" ht="15" customHeight="1" x14ac:dyDescent="0.25">
      <c r="A72" s="136"/>
      <c r="B72" s="46" t="s">
        <v>30</v>
      </c>
      <c r="C72" s="122">
        <v>25000</v>
      </c>
      <c r="D72" s="122"/>
      <c r="E72" s="123"/>
    </row>
    <row r="73" spans="1:5" ht="15" customHeight="1" x14ac:dyDescent="0.25">
      <c r="A73" s="136"/>
      <c r="B73" s="46" t="s">
        <v>205</v>
      </c>
      <c r="C73" s="122"/>
      <c r="D73" s="122"/>
      <c r="E73" s="123"/>
    </row>
    <row r="74" spans="1:5" ht="15" customHeight="1" x14ac:dyDescent="0.25">
      <c r="A74" s="136"/>
      <c r="B74" s="46" t="s">
        <v>206</v>
      </c>
      <c r="C74" s="122"/>
      <c r="D74" s="122"/>
      <c r="E74" s="123"/>
    </row>
    <row r="75" spans="1:5" ht="15" customHeight="1" thickBot="1" x14ac:dyDescent="0.3">
      <c r="A75" s="140"/>
      <c r="B75" s="85" t="s">
        <v>207</v>
      </c>
      <c r="C75" s="64">
        <v>24500</v>
      </c>
      <c r="D75" s="64">
        <f>C75/2</f>
        <v>12250</v>
      </c>
      <c r="E75" s="65">
        <f>IF(MROUND(24000*RPIM,500)&gt;$C75,$C75,MROUND(24000*RPIM,500))/2</f>
        <v>12250</v>
      </c>
    </row>
    <row r="76" spans="1:5" ht="7.5" customHeight="1" x14ac:dyDescent="0.25">
      <c r="A76" s="1"/>
      <c r="B76" s="8"/>
      <c r="C76" s="56"/>
      <c r="D76" s="56"/>
      <c r="E76" s="56"/>
    </row>
    <row r="77" spans="1:5" ht="30" customHeight="1" x14ac:dyDescent="0.25">
      <c r="A77" s="86" t="s">
        <v>31</v>
      </c>
      <c r="B77" s="113" t="s">
        <v>208</v>
      </c>
      <c r="C77" s="113"/>
      <c r="D77" s="113"/>
      <c r="E77" s="113"/>
    </row>
    <row r="78" spans="1:5" ht="30" customHeight="1" x14ac:dyDescent="0.25">
      <c r="A78" s="86" t="s">
        <v>32</v>
      </c>
      <c r="B78" s="113" t="s">
        <v>242</v>
      </c>
      <c r="C78" s="113"/>
      <c r="D78" s="113"/>
      <c r="E78" s="113"/>
    </row>
    <row r="79" spans="1:5" ht="7.5" customHeight="1" thickBot="1" x14ac:dyDescent="0.3">
      <c r="A79" s="1"/>
      <c r="B79" s="8"/>
      <c r="C79" s="56"/>
      <c r="D79" s="56"/>
      <c r="E79" s="56"/>
    </row>
    <row r="80" spans="1:5" ht="15.75" thickBot="1" x14ac:dyDescent="0.3">
      <c r="A80" s="1"/>
      <c r="B80" s="8"/>
      <c r="C80" s="80" t="s">
        <v>115</v>
      </c>
      <c r="D80" s="129" t="s">
        <v>118</v>
      </c>
      <c r="E80" s="130"/>
    </row>
    <row r="81" spans="1:5" ht="30" customHeight="1" thickBot="1" x14ac:dyDescent="0.3">
      <c r="A81" s="10"/>
      <c r="B81" s="81" t="s">
        <v>42</v>
      </c>
      <c r="C81" s="82" t="s">
        <v>116</v>
      </c>
      <c r="D81" s="82" t="s">
        <v>116</v>
      </c>
      <c r="E81" s="83" t="s">
        <v>117</v>
      </c>
    </row>
    <row r="82" spans="1:5" ht="15" customHeight="1" x14ac:dyDescent="0.25">
      <c r="A82" s="124" t="s">
        <v>225</v>
      </c>
      <c r="B82" s="89" t="s">
        <v>217</v>
      </c>
      <c r="C82" s="69">
        <v>45000</v>
      </c>
      <c r="D82" s="69" t="s">
        <v>119</v>
      </c>
      <c r="E82" s="70" t="s">
        <v>119</v>
      </c>
    </row>
    <row r="83" spans="1:5" ht="15" customHeight="1" x14ac:dyDescent="0.25">
      <c r="A83" s="125"/>
      <c r="B83" s="43" t="s">
        <v>226</v>
      </c>
      <c r="C83" s="131" t="s">
        <v>119</v>
      </c>
      <c r="D83" s="61">
        <f>55000/2</f>
        <v>27500</v>
      </c>
      <c r="E83" s="62">
        <f>46000/2</f>
        <v>23000</v>
      </c>
    </row>
    <row r="84" spans="1:5" ht="15" customHeight="1" x14ac:dyDescent="0.25">
      <c r="A84" s="125"/>
      <c r="B84" s="43" t="s">
        <v>227</v>
      </c>
      <c r="C84" s="132"/>
      <c r="D84" s="61">
        <f>43500/2</f>
        <v>21750</v>
      </c>
      <c r="E84" s="62">
        <f>42000/2</f>
        <v>21000</v>
      </c>
    </row>
    <row r="85" spans="1:5" ht="15" customHeight="1" x14ac:dyDescent="0.25">
      <c r="A85" s="125"/>
      <c r="B85" s="43" t="s">
        <v>228</v>
      </c>
      <c r="C85" s="128"/>
      <c r="D85" s="61">
        <f>34000/2</f>
        <v>17000</v>
      </c>
      <c r="E85" s="62">
        <f>33000/2</f>
        <v>16500</v>
      </c>
    </row>
    <row r="86" spans="1:5" ht="15" customHeight="1" x14ac:dyDescent="0.25">
      <c r="A86" s="125"/>
      <c r="B86" s="43" t="s">
        <v>218</v>
      </c>
      <c r="C86" s="61">
        <v>26000</v>
      </c>
      <c r="D86" s="131" t="s">
        <v>119</v>
      </c>
      <c r="E86" s="137" t="s">
        <v>119</v>
      </c>
    </row>
    <row r="87" spans="1:5" ht="15" customHeight="1" x14ac:dyDescent="0.25">
      <c r="A87" s="125"/>
      <c r="B87" s="43" t="s">
        <v>219</v>
      </c>
      <c r="C87" s="131">
        <v>32000</v>
      </c>
      <c r="D87" s="132"/>
      <c r="E87" s="139"/>
    </row>
    <row r="88" spans="1:5" ht="15" customHeight="1" x14ac:dyDescent="0.25">
      <c r="A88" s="125"/>
      <c r="B88" s="43" t="s">
        <v>220</v>
      </c>
      <c r="C88" s="132"/>
      <c r="D88" s="132"/>
      <c r="E88" s="139"/>
    </row>
    <row r="89" spans="1:5" ht="15" customHeight="1" x14ac:dyDescent="0.25">
      <c r="A89" s="125"/>
      <c r="B89" s="43" t="s">
        <v>221</v>
      </c>
      <c r="C89" s="132"/>
      <c r="D89" s="132"/>
      <c r="E89" s="139"/>
    </row>
    <row r="90" spans="1:5" ht="15" customHeight="1" x14ac:dyDescent="0.25">
      <c r="A90" s="125"/>
      <c r="B90" s="43" t="s">
        <v>222</v>
      </c>
      <c r="C90" s="128"/>
      <c r="D90" s="128"/>
      <c r="E90" s="138"/>
    </row>
    <row r="91" spans="1:5" ht="15" customHeight="1" thickBot="1" x14ac:dyDescent="0.3">
      <c r="A91" s="126"/>
      <c r="B91" s="90" t="s">
        <v>223</v>
      </c>
      <c r="C91" s="64">
        <v>26000</v>
      </c>
      <c r="D91" s="64" t="s">
        <v>119</v>
      </c>
      <c r="E91" s="65" t="s">
        <v>119</v>
      </c>
    </row>
    <row r="92" spans="1:5" ht="75" customHeight="1" thickBot="1" x14ac:dyDescent="0.3">
      <c r="A92" s="91" t="s">
        <v>50</v>
      </c>
      <c r="B92" s="79" t="s">
        <v>224</v>
      </c>
      <c r="C92" s="75">
        <v>20800</v>
      </c>
      <c r="D92" s="75">
        <f>C92/2</f>
        <v>10400</v>
      </c>
      <c r="E92" s="76">
        <f>IF(MROUND(20400*RPIM,500)&gt;$C92,$C92,MROUND(20400*RPIM,500))/2</f>
        <v>10250</v>
      </c>
    </row>
    <row r="93" spans="1:5" ht="7.5" customHeight="1" x14ac:dyDescent="0.25">
      <c r="A93" s="1"/>
      <c r="B93" s="8"/>
      <c r="C93" s="56"/>
      <c r="D93" s="56"/>
      <c r="E93" s="56"/>
    </row>
    <row r="94" spans="1:5" ht="30" customHeight="1" x14ac:dyDescent="0.25">
      <c r="A94" s="86" t="s">
        <v>31</v>
      </c>
      <c r="B94" s="113" t="s">
        <v>229</v>
      </c>
      <c r="C94" s="113"/>
      <c r="D94" s="113"/>
      <c r="E94" s="113"/>
    </row>
  </sheetData>
  <mergeCells count="46">
    <mergeCell ref="B94:E94"/>
    <mergeCell ref="E53:E54"/>
    <mergeCell ref="E64:E65"/>
    <mergeCell ref="C64:C65"/>
    <mergeCell ref="E70:E74"/>
    <mergeCell ref="C72:C74"/>
    <mergeCell ref="B77:E77"/>
    <mergeCell ref="B78:E78"/>
    <mergeCell ref="D80:E80"/>
    <mergeCell ref="D53:D54"/>
    <mergeCell ref="D56:D57"/>
    <mergeCell ref="E56:E57"/>
    <mergeCell ref="E58:E59"/>
    <mergeCell ref="A82:A91"/>
    <mergeCell ref="C83:C85"/>
    <mergeCell ref="D86:D90"/>
    <mergeCell ref="E86:E90"/>
    <mergeCell ref="C87:C90"/>
    <mergeCell ref="A62:A75"/>
    <mergeCell ref="D64:D65"/>
    <mergeCell ref="D70:D74"/>
    <mergeCell ref="B33:E33"/>
    <mergeCell ref="D35:E35"/>
    <mergeCell ref="A37:A61"/>
    <mergeCell ref="C37:C41"/>
    <mergeCell ref="D40:D41"/>
    <mergeCell ref="E40:E41"/>
    <mergeCell ref="C45:C60"/>
    <mergeCell ref="E48:E50"/>
    <mergeCell ref="E51:E52"/>
    <mergeCell ref="B32:E32"/>
    <mergeCell ref="D4:E4"/>
    <mergeCell ref="B2:E2"/>
    <mergeCell ref="A6:A27"/>
    <mergeCell ref="C6:C7"/>
    <mergeCell ref="C8:C10"/>
    <mergeCell ref="C16:C17"/>
    <mergeCell ref="D19:D20"/>
    <mergeCell ref="E19:E20"/>
    <mergeCell ref="C21:C23"/>
    <mergeCell ref="C26:C27"/>
    <mergeCell ref="D26:D27"/>
    <mergeCell ref="E26:E27"/>
    <mergeCell ref="B29:E29"/>
    <mergeCell ref="B30:E30"/>
    <mergeCell ref="B31:E31"/>
  </mergeCells>
  <pageMargins left="0.70866141732283472" right="0.70866141732283472" top="0.74803149606299213" bottom="0.74803149606299213" header="0.31496062992125984" footer="0.31496062992125984"/>
  <pageSetup paperSize="9" orientation="portrait" r:id="rId1"/>
  <rowBreaks count="2" manualBreakCount="2">
    <brk id="33" max="16383" man="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6EFCE"/>
  </sheetPr>
  <dimension ref="A1:E43"/>
  <sheetViews>
    <sheetView topLeftCell="A7" zoomScaleNormal="100" workbookViewId="0">
      <selection activeCell="E25" sqref="E25"/>
    </sheetView>
  </sheetViews>
  <sheetFormatPr defaultRowHeight="15" x14ac:dyDescent="0.25"/>
  <cols>
    <col min="1" max="1" width="3.85546875" style="9" bestFit="1" customWidth="1"/>
    <col min="2" max="2" width="49.140625" style="9" customWidth="1"/>
    <col min="3" max="5" width="11.42578125" style="52" customWidth="1"/>
    <col min="6" max="16384" width="9.140625" style="9"/>
  </cols>
  <sheetData>
    <row r="1" spans="1:5" ht="7.5" customHeight="1" x14ac:dyDescent="0.25"/>
    <row r="2" spans="1:5" ht="60" customHeight="1" x14ac:dyDescent="0.25">
      <c r="B2" s="147" t="str">
        <f>"The fees for continuing students that are based on the UK Research Council fee of 
"&amp;TEXT(RCFee,"£#,##0.00")&amp;" will increase annually by the GDP deflator, fees for other students will increase 
annually by the RPI value for April in the calendar year the session commences rounded 
to the nearest £50 and subject to a cap of the new-entrant fee for that session."</f>
        <v>The fees for continuing students that are based on the UK Research Council fee of 
£4,121.00 will increase annually by the GDP deflator, fees for other students will increase 
annually by the RPI value for April in the calendar year the session commences rounded 
to the nearest £50 and subject to a cap of the new-entrant fee for that session.</v>
      </c>
      <c r="C2" s="147"/>
      <c r="D2" s="147"/>
      <c r="E2" s="147"/>
    </row>
    <row r="3" spans="1:5" ht="7.5" customHeight="1" thickBot="1" x14ac:dyDescent="0.3"/>
    <row r="4" spans="1:5" ht="60" customHeight="1" thickBot="1" x14ac:dyDescent="0.3">
      <c r="C4" s="55" t="s">
        <v>115</v>
      </c>
      <c r="D4" s="141" t="s">
        <v>118</v>
      </c>
      <c r="E4" s="142"/>
    </row>
    <row r="5" spans="1:5" ht="7.5" customHeight="1" thickBot="1" x14ac:dyDescent="0.3">
      <c r="A5" s="13"/>
      <c r="B5" s="21" t="s">
        <v>42</v>
      </c>
      <c r="C5" s="57" t="s">
        <v>116</v>
      </c>
      <c r="D5" s="57" t="s">
        <v>116</v>
      </c>
      <c r="E5" s="58" t="s">
        <v>117</v>
      </c>
    </row>
    <row r="6" spans="1:5" x14ac:dyDescent="0.25">
      <c r="A6" s="149" t="s">
        <v>39</v>
      </c>
      <c r="B6" s="59" t="s">
        <v>15</v>
      </c>
      <c r="C6" s="154">
        <v>11000</v>
      </c>
      <c r="D6" s="127" t="s">
        <v>119</v>
      </c>
      <c r="E6" s="143" t="s">
        <v>119</v>
      </c>
    </row>
    <row r="7" spans="1:5" ht="30" customHeight="1" x14ac:dyDescent="0.25">
      <c r="A7" s="150"/>
      <c r="B7" s="60" t="s">
        <v>16</v>
      </c>
      <c r="C7" s="122"/>
      <c r="D7" s="132"/>
      <c r="E7" s="139"/>
    </row>
    <row r="8" spans="1:5" ht="18" customHeight="1" x14ac:dyDescent="0.25">
      <c r="A8" s="150"/>
      <c r="B8" s="60" t="s">
        <v>19</v>
      </c>
      <c r="C8" s="61">
        <v>12500</v>
      </c>
      <c r="D8" s="132"/>
      <c r="E8" s="139"/>
    </row>
    <row r="9" spans="1:5" ht="18" customHeight="1" thickBot="1" x14ac:dyDescent="0.3">
      <c r="A9" s="151"/>
      <c r="B9" s="66" t="s">
        <v>24</v>
      </c>
      <c r="C9" s="67">
        <v>11000</v>
      </c>
      <c r="D9" s="153"/>
      <c r="E9" s="152"/>
    </row>
    <row r="10" spans="1:5" ht="18" customHeight="1" x14ac:dyDescent="0.25">
      <c r="A10" s="135" t="s">
        <v>33</v>
      </c>
      <c r="B10" s="59" t="s">
        <v>123</v>
      </c>
      <c r="C10" s="127">
        <v>12500</v>
      </c>
      <c r="D10" s="127" t="s">
        <v>119</v>
      </c>
      <c r="E10" s="143" t="s">
        <v>119</v>
      </c>
    </row>
    <row r="11" spans="1:5" ht="18" customHeight="1" x14ac:dyDescent="0.25">
      <c r="A11" s="136"/>
      <c r="B11" s="60" t="s">
        <v>124</v>
      </c>
      <c r="C11" s="132"/>
      <c r="D11" s="132"/>
      <c r="E11" s="139"/>
    </row>
    <row r="12" spans="1:5" x14ac:dyDescent="0.25">
      <c r="A12" s="136"/>
      <c r="B12" s="60" t="s">
        <v>125</v>
      </c>
      <c r="C12" s="132"/>
      <c r="D12" s="132"/>
      <c r="E12" s="139"/>
    </row>
    <row r="13" spans="1:5" x14ac:dyDescent="0.25">
      <c r="A13" s="136"/>
      <c r="B13" s="60" t="s">
        <v>133</v>
      </c>
      <c r="C13" s="132"/>
      <c r="D13" s="132"/>
      <c r="E13" s="139"/>
    </row>
    <row r="14" spans="1:5" x14ac:dyDescent="0.25">
      <c r="A14" s="136"/>
      <c r="B14" s="60" t="s">
        <v>132</v>
      </c>
      <c r="C14" s="132"/>
      <c r="D14" s="132"/>
      <c r="E14" s="139"/>
    </row>
    <row r="15" spans="1:5" x14ac:dyDescent="0.25">
      <c r="A15" s="136"/>
      <c r="B15" s="60" t="s">
        <v>126</v>
      </c>
      <c r="C15" s="132"/>
      <c r="D15" s="132"/>
      <c r="E15" s="139"/>
    </row>
    <row r="16" spans="1:5" x14ac:dyDescent="0.25">
      <c r="A16" s="136"/>
      <c r="B16" s="60" t="s">
        <v>127</v>
      </c>
      <c r="C16" s="132"/>
      <c r="D16" s="132"/>
      <c r="E16" s="139"/>
    </row>
    <row r="17" spans="1:5" x14ac:dyDescent="0.25">
      <c r="A17" s="136"/>
      <c r="B17" s="60" t="s">
        <v>120</v>
      </c>
      <c r="C17" s="132"/>
      <c r="D17" s="132"/>
      <c r="E17" s="139"/>
    </row>
    <row r="18" spans="1:5" x14ac:dyDescent="0.25">
      <c r="A18" s="136"/>
      <c r="B18" s="60" t="s">
        <v>134</v>
      </c>
      <c r="C18" s="132"/>
      <c r="D18" s="132"/>
      <c r="E18" s="139"/>
    </row>
    <row r="19" spans="1:5" x14ac:dyDescent="0.25">
      <c r="A19" s="136"/>
      <c r="B19" s="60" t="s">
        <v>128</v>
      </c>
      <c r="C19" s="132"/>
      <c r="D19" s="132"/>
      <c r="E19" s="139"/>
    </row>
    <row r="20" spans="1:5" x14ac:dyDescent="0.25">
      <c r="A20" s="136"/>
      <c r="B20" s="60" t="s">
        <v>129</v>
      </c>
      <c r="C20" s="132"/>
      <c r="D20" s="132"/>
      <c r="E20" s="139"/>
    </row>
    <row r="21" spans="1:5" x14ac:dyDescent="0.25">
      <c r="A21" s="136"/>
      <c r="B21" s="60" t="s">
        <v>130</v>
      </c>
      <c r="C21" s="132"/>
      <c r="D21" s="132"/>
      <c r="E21" s="139"/>
    </row>
    <row r="22" spans="1:5" x14ac:dyDescent="0.25">
      <c r="A22" s="136"/>
      <c r="B22" s="60" t="s">
        <v>131</v>
      </c>
      <c r="C22" s="128"/>
      <c r="D22" s="128"/>
      <c r="E22" s="138"/>
    </row>
    <row r="23" spans="1:5" ht="15.75" thickBot="1" x14ac:dyDescent="0.3">
      <c r="A23" s="136"/>
      <c r="B23" s="66" t="s">
        <v>122</v>
      </c>
      <c r="C23" s="67">
        <v>9800</v>
      </c>
      <c r="D23" s="67">
        <f>C23/2</f>
        <v>4900</v>
      </c>
      <c r="E23" s="68">
        <f>IF(MROUND(9500*RPIM,50)&gt;$C23,$C23,MROUND(9500*RPIM,50))/2</f>
        <v>4800</v>
      </c>
    </row>
    <row r="24" spans="1:5" x14ac:dyDescent="0.25">
      <c r="A24" s="144" t="s">
        <v>40</v>
      </c>
      <c r="B24" s="59" t="s">
        <v>27</v>
      </c>
      <c r="C24" s="69">
        <v>10700</v>
      </c>
      <c r="D24" s="69">
        <f>C24/2</f>
        <v>5350</v>
      </c>
      <c r="E24" s="70">
        <f>IF(MROUND(10450*RPIM,50)&gt;$C24,$C24,MROUND(10450*RPIM,50))/2</f>
        <v>5300</v>
      </c>
    </row>
    <row r="25" spans="1:5" x14ac:dyDescent="0.25">
      <c r="A25" s="145"/>
      <c r="B25" s="60" t="s">
        <v>135</v>
      </c>
      <c r="C25" s="61">
        <v>10700</v>
      </c>
      <c r="D25" s="131" t="s">
        <v>119</v>
      </c>
      <c r="E25" s="137" t="s">
        <v>119</v>
      </c>
    </row>
    <row r="26" spans="1:5" ht="15" customHeight="1" x14ac:dyDescent="0.25">
      <c r="A26" s="145"/>
      <c r="B26" s="60" t="s">
        <v>136</v>
      </c>
      <c r="C26" s="61">
        <f>RCFee</f>
        <v>4121</v>
      </c>
      <c r="D26" s="132"/>
      <c r="E26" s="139"/>
    </row>
    <row r="27" spans="1:5" x14ac:dyDescent="0.25">
      <c r="A27" s="145"/>
      <c r="B27" s="60" t="s">
        <v>137</v>
      </c>
      <c r="C27" s="122">
        <v>9400</v>
      </c>
      <c r="D27" s="132"/>
      <c r="E27" s="139"/>
    </row>
    <row r="28" spans="1:5" x14ac:dyDescent="0.25">
      <c r="A28" s="145"/>
      <c r="B28" s="60" t="s">
        <v>138</v>
      </c>
      <c r="C28" s="122"/>
      <c r="D28" s="132"/>
      <c r="E28" s="139"/>
    </row>
    <row r="29" spans="1:5" x14ac:dyDescent="0.25">
      <c r="A29" s="145"/>
      <c r="B29" s="60" t="s">
        <v>139</v>
      </c>
      <c r="C29" s="122"/>
      <c r="D29" s="132"/>
      <c r="E29" s="139"/>
    </row>
    <row r="30" spans="1:5" x14ac:dyDescent="0.25">
      <c r="A30" s="145"/>
      <c r="B30" s="60" t="s">
        <v>142</v>
      </c>
      <c r="C30" s="122"/>
      <c r="D30" s="128"/>
      <c r="E30" s="138"/>
    </row>
    <row r="31" spans="1:5" x14ac:dyDescent="0.25">
      <c r="A31" s="145"/>
      <c r="B31" s="60" t="s">
        <v>140</v>
      </c>
      <c r="C31" s="61">
        <v>12400</v>
      </c>
      <c r="D31" s="61">
        <f>C31/2</f>
        <v>6200</v>
      </c>
      <c r="E31" s="62">
        <f>IF(MROUND(12000*RPIM,50)&gt;$C31,$C31,MROUND(12000*RPIM,50))/2</f>
        <v>6075</v>
      </c>
    </row>
    <row r="32" spans="1:5" x14ac:dyDescent="0.25">
      <c r="A32" s="145"/>
      <c r="B32" s="60" t="s">
        <v>141</v>
      </c>
      <c r="C32" s="61">
        <v>9400</v>
      </c>
      <c r="D32" s="61">
        <f>C32/2</f>
        <v>4700</v>
      </c>
      <c r="E32" s="62">
        <f>IF(MROUND(9200*RPIM,50)&gt;$C32,$C32,MROUND(9200*RPIM,50))/2</f>
        <v>4650</v>
      </c>
    </row>
    <row r="33" spans="1:5" ht="17.25" x14ac:dyDescent="0.25">
      <c r="A33" s="145"/>
      <c r="B33" s="60" t="s">
        <v>149</v>
      </c>
      <c r="C33" s="61" t="s">
        <v>119</v>
      </c>
      <c r="D33" s="61">
        <f>ROUND(C32/3,0)</f>
        <v>3133</v>
      </c>
      <c r="E33" s="62">
        <f>ROUND((E32*2)/3,0)</f>
        <v>3100</v>
      </c>
    </row>
    <row r="34" spans="1:5" x14ac:dyDescent="0.25">
      <c r="A34" s="145"/>
      <c r="B34" s="60" t="s">
        <v>143</v>
      </c>
      <c r="C34" s="61">
        <v>4200</v>
      </c>
      <c r="D34" s="61">
        <v>2100</v>
      </c>
      <c r="E34" s="62">
        <f>ROUND(RCFee/2,0)</f>
        <v>2061</v>
      </c>
    </row>
    <row r="35" spans="1:5" x14ac:dyDescent="0.25">
      <c r="A35" s="145"/>
      <c r="B35" s="60" t="s">
        <v>145</v>
      </c>
      <c r="C35" s="61">
        <v>9000</v>
      </c>
      <c r="D35" s="131" t="s">
        <v>119</v>
      </c>
      <c r="E35" s="137" t="s">
        <v>119</v>
      </c>
    </row>
    <row r="36" spans="1:5" x14ac:dyDescent="0.25">
      <c r="A36" s="145"/>
      <c r="B36" s="60" t="s">
        <v>146</v>
      </c>
      <c r="C36" s="61">
        <v>9200</v>
      </c>
      <c r="D36" s="132"/>
      <c r="E36" s="139"/>
    </row>
    <row r="37" spans="1:5" x14ac:dyDescent="0.25">
      <c r="A37" s="145"/>
      <c r="B37" s="60" t="s">
        <v>147</v>
      </c>
      <c r="C37" s="61">
        <v>12200</v>
      </c>
      <c r="D37" s="132"/>
      <c r="E37" s="139"/>
    </row>
    <row r="38" spans="1:5" ht="15.75" thickBot="1" x14ac:dyDescent="0.3">
      <c r="A38" s="146"/>
      <c r="B38" s="63" t="s">
        <v>148</v>
      </c>
      <c r="C38" s="64">
        <v>14200</v>
      </c>
      <c r="D38" s="153"/>
      <c r="E38" s="152"/>
    </row>
    <row r="39" spans="1:5" ht="48.75" thickBot="1" x14ac:dyDescent="0.3">
      <c r="A39" s="31" t="s">
        <v>44</v>
      </c>
      <c r="B39" s="72" t="s">
        <v>44</v>
      </c>
      <c r="C39" s="75">
        <f>RCFee</f>
        <v>4121</v>
      </c>
      <c r="D39" s="73" t="s">
        <v>119</v>
      </c>
      <c r="E39" s="74" t="s">
        <v>119</v>
      </c>
    </row>
    <row r="41" spans="1:5" ht="49.5" customHeight="1" x14ac:dyDescent="0.25">
      <c r="A41" s="77" t="s">
        <v>31</v>
      </c>
      <c r="B41" s="148" t="s">
        <v>173</v>
      </c>
      <c r="C41" s="148"/>
      <c r="D41" s="148"/>
      <c r="E41" s="148"/>
    </row>
    <row r="42" spans="1:5" ht="7.5" customHeight="1" x14ac:dyDescent="0.25"/>
    <row r="43" spans="1:5" ht="15" customHeight="1" x14ac:dyDescent="0.25"/>
  </sheetData>
  <sortState xmlns:xlrd2="http://schemas.microsoft.com/office/spreadsheetml/2017/richdata2" ref="B8:B20">
    <sortCondition ref="B8:B20"/>
  </sortState>
  <mergeCells count="17">
    <mergeCell ref="E6:E9"/>
    <mergeCell ref="D6:D9"/>
    <mergeCell ref="E35:E38"/>
    <mergeCell ref="D35:D38"/>
    <mergeCell ref="D10:D22"/>
    <mergeCell ref="C10:C22"/>
    <mergeCell ref="C27:C30"/>
    <mergeCell ref="E25:E30"/>
    <mergeCell ref="D25:D30"/>
    <mergeCell ref="D4:E4"/>
    <mergeCell ref="C6:C7"/>
    <mergeCell ref="A10:A23"/>
    <mergeCell ref="E10:E22"/>
    <mergeCell ref="A24:A38"/>
    <mergeCell ref="B2:E2"/>
    <mergeCell ref="B41:E41"/>
    <mergeCell ref="A6:A9"/>
  </mergeCell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6EFCE"/>
  </sheetPr>
  <dimension ref="A1:E28"/>
  <sheetViews>
    <sheetView tabSelected="1" zoomScaleNormal="100" workbookViewId="0">
      <selection activeCell="C18" sqref="C18"/>
    </sheetView>
  </sheetViews>
  <sheetFormatPr defaultRowHeight="15" x14ac:dyDescent="0.25"/>
  <cols>
    <col min="1" max="1" width="3.85546875" style="9" bestFit="1" customWidth="1"/>
    <col min="2" max="2" width="49.140625" style="9" customWidth="1"/>
    <col min="3" max="5" width="11.42578125" style="9" customWidth="1"/>
    <col min="6" max="16384" width="9.140625" style="9"/>
  </cols>
  <sheetData>
    <row r="1" spans="1:5" ht="7.5" customHeight="1" x14ac:dyDescent="0.25"/>
    <row r="2" spans="1:5" ht="45" customHeight="1" x14ac:dyDescent="0.25">
      <c r="B2" s="147" t="s">
        <v>291</v>
      </c>
      <c r="C2" s="147"/>
      <c r="D2" s="147"/>
      <c r="E2" s="147"/>
    </row>
    <row r="3" spans="1:5" ht="7.5" customHeight="1" thickBot="1" x14ac:dyDescent="0.3"/>
    <row r="4" spans="1:5" ht="15.75" thickBot="1" x14ac:dyDescent="0.3">
      <c r="C4" s="55" t="s">
        <v>115</v>
      </c>
      <c r="D4" s="141" t="s">
        <v>118</v>
      </c>
      <c r="E4" s="142"/>
    </row>
    <row r="5" spans="1:5" ht="45" customHeight="1" thickBot="1" x14ac:dyDescent="0.3">
      <c r="A5" s="13"/>
      <c r="B5" s="21" t="s">
        <v>42</v>
      </c>
      <c r="C5" s="57" t="s">
        <v>116</v>
      </c>
      <c r="D5" s="57" t="s">
        <v>116</v>
      </c>
      <c r="E5" s="58" t="s">
        <v>117</v>
      </c>
    </row>
    <row r="6" spans="1:5" ht="18" customHeight="1" x14ac:dyDescent="0.25">
      <c r="A6" s="155" t="s">
        <v>39</v>
      </c>
      <c r="B6" s="59" t="s">
        <v>15</v>
      </c>
      <c r="C6" s="103">
        <v>27900</v>
      </c>
      <c r="D6" s="127" t="s">
        <v>119</v>
      </c>
      <c r="E6" s="143" t="s">
        <v>119</v>
      </c>
    </row>
    <row r="7" spans="1:5" ht="18" customHeight="1" x14ac:dyDescent="0.25">
      <c r="A7" s="156"/>
      <c r="B7" s="60" t="s">
        <v>16</v>
      </c>
      <c r="C7" s="107"/>
      <c r="D7" s="132"/>
      <c r="E7" s="139"/>
    </row>
    <row r="8" spans="1:5" ht="18" customHeight="1" x14ac:dyDescent="0.25">
      <c r="A8" s="156"/>
      <c r="B8" s="60" t="s">
        <v>19</v>
      </c>
      <c r="C8" s="6">
        <v>28200</v>
      </c>
      <c r="D8" s="132"/>
      <c r="E8" s="139"/>
    </row>
    <row r="9" spans="1:5" ht="18" customHeight="1" thickBot="1" x14ac:dyDescent="0.3">
      <c r="A9" s="157"/>
      <c r="B9" s="66" t="s">
        <v>24</v>
      </c>
      <c r="C9" s="15">
        <v>27900</v>
      </c>
      <c r="D9" s="153"/>
      <c r="E9" s="152"/>
    </row>
    <row r="10" spans="1:5" ht="50.25" thickBot="1" x14ac:dyDescent="0.3">
      <c r="A10" s="71" t="s">
        <v>33</v>
      </c>
      <c r="B10" s="72" t="s">
        <v>33</v>
      </c>
      <c r="C10" s="33">
        <v>29700</v>
      </c>
      <c r="D10" s="75">
        <f>C10/2</f>
        <v>14850</v>
      </c>
      <c r="E10" s="76">
        <f>IF(MROUND(29100*RPIM,500)&gt;$C10,$C10,MROUND(29100*RPIM,500))/2</f>
        <v>14750</v>
      </c>
    </row>
    <row r="11" spans="1:5" x14ac:dyDescent="0.25">
      <c r="A11" s="144" t="s">
        <v>40</v>
      </c>
      <c r="B11" s="59" t="s">
        <v>27</v>
      </c>
      <c r="C11" s="69">
        <v>30000</v>
      </c>
      <c r="D11" s="69">
        <f>C11/2</f>
        <v>15000</v>
      </c>
      <c r="E11" s="70">
        <f>IF(MROUND(29300*RPIM,500)&gt;$C11,$C11,MROUND(29300*RPIM,500))/2</f>
        <v>14750</v>
      </c>
    </row>
    <row r="12" spans="1:5" x14ac:dyDescent="0.25">
      <c r="A12" s="145"/>
      <c r="B12" s="60" t="s">
        <v>135</v>
      </c>
      <c r="C12" s="61">
        <v>30000</v>
      </c>
      <c r="D12" s="131" t="s">
        <v>119</v>
      </c>
      <c r="E12" s="137" t="s">
        <v>119</v>
      </c>
    </row>
    <row r="13" spans="1:5" x14ac:dyDescent="0.25">
      <c r="A13" s="145"/>
      <c r="B13" s="60" t="s">
        <v>136</v>
      </c>
      <c r="C13" s="61">
        <v>23500</v>
      </c>
      <c r="D13" s="132"/>
      <c r="E13" s="139"/>
    </row>
    <row r="14" spans="1:5" x14ac:dyDescent="0.25">
      <c r="A14" s="145"/>
      <c r="B14" s="60" t="s">
        <v>137</v>
      </c>
      <c r="C14" s="122">
        <v>26700</v>
      </c>
      <c r="D14" s="132"/>
      <c r="E14" s="139"/>
    </row>
    <row r="15" spans="1:5" x14ac:dyDescent="0.25">
      <c r="A15" s="145"/>
      <c r="B15" s="60" t="s">
        <v>138</v>
      </c>
      <c r="C15" s="122"/>
      <c r="D15" s="132"/>
      <c r="E15" s="139"/>
    </row>
    <row r="16" spans="1:5" x14ac:dyDescent="0.25">
      <c r="A16" s="145"/>
      <c r="B16" s="60" t="s">
        <v>139</v>
      </c>
      <c r="C16" s="122"/>
      <c r="D16" s="132"/>
      <c r="E16" s="139"/>
    </row>
    <row r="17" spans="1:5" x14ac:dyDescent="0.25">
      <c r="A17" s="145"/>
      <c r="B17" s="60" t="s">
        <v>142</v>
      </c>
      <c r="C17" s="122"/>
      <c r="D17" s="128"/>
      <c r="E17" s="138"/>
    </row>
    <row r="18" spans="1:5" x14ac:dyDescent="0.25">
      <c r="A18" s="145"/>
      <c r="B18" s="60" t="s">
        <v>140</v>
      </c>
      <c r="C18" s="61">
        <v>22200</v>
      </c>
      <c r="D18" s="61">
        <f>C18/2</f>
        <v>11100</v>
      </c>
      <c r="E18" s="62">
        <f>IF(MROUND(20000*RPIM,500)&gt;$C18,$C18,MROUND(20000*RPIM,500))/2</f>
        <v>10250</v>
      </c>
    </row>
    <row r="19" spans="1:5" x14ac:dyDescent="0.25">
      <c r="A19" s="145"/>
      <c r="B19" s="60" t="s">
        <v>141</v>
      </c>
      <c r="C19" s="61">
        <v>19200</v>
      </c>
      <c r="D19" s="61">
        <f>C19/2</f>
        <v>9600</v>
      </c>
      <c r="E19" s="62">
        <f>IF(MROUND(18800*RPIM,500)&gt;$C19,$C19,MROUND(18800*RPIM,500))/2</f>
        <v>9500</v>
      </c>
    </row>
    <row r="20" spans="1:5" ht="17.25" x14ac:dyDescent="0.25">
      <c r="A20" s="145"/>
      <c r="B20" s="60" t="s">
        <v>149</v>
      </c>
      <c r="C20" s="61" t="s">
        <v>119</v>
      </c>
      <c r="D20" s="61">
        <f>ROUND(C19/3,0)</f>
        <v>6400</v>
      </c>
      <c r="E20" s="62">
        <f>ROUND((E19*2)/3,0)</f>
        <v>6333</v>
      </c>
    </row>
    <row r="21" spans="1:5" x14ac:dyDescent="0.25">
      <c r="A21" s="145"/>
      <c r="B21" s="60" t="s">
        <v>143</v>
      </c>
      <c r="C21" s="61">
        <v>20200</v>
      </c>
      <c r="D21" s="61">
        <f>C21/2</f>
        <v>10100</v>
      </c>
      <c r="E21" s="62">
        <f>IF(MROUND(19800*RPIM,500)&gt;$C21,$C21,MROUND(19800*RPIM,500))/2</f>
        <v>10000</v>
      </c>
    </row>
    <row r="22" spans="1:5" x14ac:dyDescent="0.25">
      <c r="A22" s="145"/>
      <c r="B22" s="60" t="s">
        <v>145</v>
      </c>
      <c r="C22" s="61">
        <v>24000</v>
      </c>
      <c r="D22" s="131" t="s">
        <v>119</v>
      </c>
      <c r="E22" s="137" t="s">
        <v>119</v>
      </c>
    </row>
    <row r="23" spans="1:5" x14ac:dyDescent="0.25">
      <c r="A23" s="145"/>
      <c r="B23" s="60" t="s">
        <v>146</v>
      </c>
      <c r="C23" s="61">
        <v>24500</v>
      </c>
      <c r="D23" s="132"/>
      <c r="E23" s="139"/>
    </row>
    <row r="24" spans="1:5" x14ac:dyDescent="0.25">
      <c r="A24" s="145"/>
      <c r="B24" s="60" t="s">
        <v>147</v>
      </c>
      <c r="C24" s="61">
        <v>27500</v>
      </c>
      <c r="D24" s="132"/>
      <c r="E24" s="139"/>
    </row>
    <row r="25" spans="1:5" ht="15.75" thickBot="1" x14ac:dyDescent="0.3">
      <c r="A25" s="146"/>
      <c r="B25" s="63" t="s">
        <v>148</v>
      </c>
      <c r="C25" s="64">
        <v>29500</v>
      </c>
      <c r="D25" s="153"/>
      <c r="E25" s="152"/>
    </row>
    <row r="26" spans="1:5" ht="48.75" thickBot="1" x14ac:dyDescent="0.3">
      <c r="A26" s="31" t="s">
        <v>44</v>
      </c>
      <c r="B26" s="72" t="s">
        <v>44</v>
      </c>
      <c r="C26" s="75">
        <v>14900</v>
      </c>
      <c r="D26" s="73" t="s">
        <v>119</v>
      </c>
      <c r="E26" s="74" t="s">
        <v>119</v>
      </c>
    </row>
    <row r="27" spans="1:5" ht="7.5" customHeight="1" x14ac:dyDescent="0.25"/>
    <row r="28" spans="1:5" ht="15" customHeight="1" x14ac:dyDescent="0.25">
      <c r="A28" s="77" t="s">
        <v>31</v>
      </c>
      <c r="B28" s="148" t="s">
        <v>174</v>
      </c>
      <c r="C28" s="148"/>
      <c r="D28" s="148"/>
      <c r="E28" s="148"/>
    </row>
  </sheetData>
  <mergeCells count="13">
    <mergeCell ref="B28:E28"/>
    <mergeCell ref="B2:E2"/>
    <mergeCell ref="E6:E9"/>
    <mergeCell ref="D6:D9"/>
    <mergeCell ref="E22:E25"/>
    <mergeCell ref="D22:D25"/>
    <mergeCell ref="E12:E17"/>
    <mergeCell ref="D12:D17"/>
    <mergeCell ref="A11:A25"/>
    <mergeCell ref="C14:C17"/>
    <mergeCell ref="D4:E4"/>
    <mergeCell ref="C6:C7"/>
    <mergeCell ref="A6:A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6EFCE"/>
  </sheetPr>
  <dimension ref="A1:J23"/>
  <sheetViews>
    <sheetView zoomScaleNormal="100" workbookViewId="0">
      <selection activeCell="C13" sqref="C13"/>
    </sheetView>
  </sheetViews>
  <sheetFormatPr defaultRowHeight="15" x14ac:dyDescent="0.25"/>
  <cols>
    <col min="1" max="1" width="3.85546875" style="9" bestFit="1" customWidth="1"/>
    <col min="2" max="2" width="35.7109375" customWidth="1"/>
    <col min="3" max="10" width="11.42578125" customWidth="1"/>
  </cols>
  <sheetData>
    <row r="1" spans="1:10" ht="7.5" customHeight="1" x14ac:dyDescent="0.25">
      <c r="A1" s="2"/>
      <c r="B1" s="2"/>
      <c r="C1" s="2"/>
      <c r="D1" s="2"/>
      <c r="E1" s="2"/>
      <c r="F1" s="2"/>
      <c r="G1" s="2"/>
      <c r="H1" s="2"/>
      <c r="I1" s="2"/>
      <c r="J1" s="2"/>
    </row>
    <row r="2" spans="1:10" ht="45" customHeight="1" x14ac:dyDescent="0.25">
      <c r="A2" s="167" t="str">
        <f>"The fees for continuing students that are based on the UK Research Council fee of "&amp;TEXT(RCFee,"£#,##0.00")&amp;" will increase annually by the GDP deflator, fees for other students will increase annually by the RPI value for April in the calendar year the session commences rounded to the nearest £50 and subject to the new-entrant fee for that session."</f>
        <v>The fees for continuing students that are based on the UK Research Council fee of £4,121.00 will increase annually by the GDP deflator, fees for other students will increase annually by the RPI value for April in the calendar year the session commences rounded to the nearest £50 and subject to the new-entrant fee for that session.</v>
      </c>
      <c r="B2" s="167"/>
      <c r="C2" s="167"/>
      <c r="D2" s="167"/>
      <c r="E2" s="167"/>
      <c r="F2" s="167"/>
      <c r="G2" s="167"/>
      <c r="H2" s="167"/>
      <c r="I2" s="167"/>
      <c r="J2" s="167"/>
    </row>
    <row r="3" spans="1:10" ht="7.5" customHeight="1" x14ac:dyDescent="0.25">
      <c r="A3" s="2"/>
      <c r="B3" s="2"/>
      <c r="C3" s="2"/>
      <c r="D3" s="2"/>
      <c r="E3" s="2"/>
      <c r="F3" s="2"/>
      <c r="G3" s="2"/>
      <c r="H3" s="2"/>
      <c r="I3" s="2"/>
      <c r="J3" s="2"/>
    </row>
    <row r="4" spans="1:10" ht="30" customHeight="1" x14ac:dyDescent="0.25">
      <c r="A4" s="166" t="s">
        <v>52</v>
      </c>
      <c r="B4" s="166"/>
      <c r="C4" s="166"/>
      <c r="D4" s="166"/>
      <c r="E4" s="166"/>
      <c r="F4" s="166"/>
      <c r="G4" s="166"/>
      <c r="H4" s="166"/>
      <c r="I4" s="166"/>
      <c r="J4" s="166"/>
    </row>
    <row r="5" spans="1:10" ht="7.5" customHeight="1" thickBot="1" x14ac:dyDescent="0.3"/>
    <row r="6" spans="1:10" ht="15" customHeight="1" thickBot="1" x14ac:dyDescent="0.3">
      <c r="A6" s="13"/>
      <c r="B6" s="21" t="str">
        <f>UGHEU!B4</f>
        <v>Subject</v>
      </c>
      <c r="C6" s="22" t="str">
        <f>UGHEU!C4</f>
        <v>2016
Cohort</v>
      </c>
      <c r="D6" s="22" t="str">
        <f>UGHEU!D4</f>
        <v>2015
Cohort</v>
      </c>
      <c r="E6" s="22" t="str">
        <f>UGHEU!E4</f>
        <v>2014
Cohort</v>
      </c>
      <c r="F6" s="22" t="str">
        <f>UGHEU!F4</f>
        <v>2013
Cohort</v>
      </c>
      <c r="G6" s="22" t="str">
        <f>UGHEU!G4</f>
        <v>2012
Cohort</v>
      </c>
      <c r="H6" s="22" t="str">
        <f>UGHEU!H4</f>
        <v>2011
Cohort</v>
      </c>
      <c r="I6" s="22" t="str">
        <f>UGHEU!I4</f>
        <v>2010
Cohort</v>
      </c>
      <c r="J6" s="23" t="str">
        <f>UGHEU!J4</f>
        <v>All Previous Cohorts</v>
      </c>
    </row>
    <row r="7" spans="1:10" ht="7.5" customHeight="1" x14ac:dyDescent="0.25">
      <c r="A7" s="97" t="s">
        <v>39</v>
      </c>
      <c r="B7" s="16" t="s">
        <v>49</v>
      </c>
      <c r="C7" s="158">
        <v>11000</v>
      </c>
      <c r="D7" s="158">
        <f>IF(MROUND(10750*RPIM,50)&gt;$C7,$C7,MROUND(10750*RPIM,50))</f>
        <v>10900</v>
      </c>
      <c r="E7" s="158">
        <f>IF(MROUND(10750*RPIM,50)&gt;$C7,$C7,MROUND(10750*RPIM,50))</f>
        <v>10900</v>
      </c>
      <c r="F7" s="158">
        <f>IF(MROUND(10750*RPIM,50)&gt;$C7,$C7,MROUND(10750*RPIM,50))</f>
        <v>10900</v>
      </c>
      <c r="G7" s="158">
        <f>IF(MROUND(10750*RPIM,50)&gt;$C7,$C7,MROUND(10750*RPIM,50))</f>
        <v>10900</v>
      </c>
      <c r="H7" s="158">
        <f>IF(MROUND(10600*RPIM,50)&gt;$C7,$C7,MROUND(10600*RPIM,50))</f>
        <v>10750</v>
      </c>
      <c r="I7" s="158">
        <f>IF(MROUND(10600*RPIM,50)&gt;$C7,$C7,MROUND(10600*RPIM,50))</f>
        <v>10750</v>
      </c>
      <c r="J7" s="160">
        <f>IF(MROUND(10600*RPIM,50)&gt;$C7,$C7,MROUND(10600*RPIM,50))</f>
        <v>10750</v>
      </c>
    </row>
    <row r="8" spans="1:10" x14ac:dyDescent="0.25">
      <c r="A8" s="98"/>
      <c r="B8" s="4" t="s">
        <v>48</v>
      </c>
      <c r="C8" s="159"/>
      <c r="D8" s="159"/>
      <c r="E8" s="159"/>
      <c r="F8" s="159"/>
      <c r="G8" s="159"/>
      <c r="H8" s="159"/>
      <c r="I8" s="159"/>
      <c r="J8" s="162"/>
    </row>
    <row r="9" spans="1:10" ht="24" customHeight="1" thickBot="1" x14ac:dyDescent="0.3">
      <c r="A9" s="99"/>
      <c r="B9" s="17" t="s">
        <v>121</v>
      </c>
      <c r="C9" s="29">
        <f t="shared" ref="C9:J9" si="0">RCFee</f>
        <v>4121</v>
      </c>
      <c r="D9" s="29">
        <f t="shared" si="0"/>
        <v>4121</v>
      </c>
      <c r="E9" s="29">
        <f t="shared" si="0"/>
        <v>4121</v>
      </c>
      <c r="F9" s="29">
        <f t="shared" si="0"/>
        <v>4121</v>
      </c>
      <c r="G9" s="29">
        <f t="shared" si="0"/>
        <v>4121</v>
      </c>
      <c r="H9" s="29">
        <f t="shared" si="0"/>
        <v>4121</v>
      </c>
      <c r="I9" s="29">
        <f t="shared" si="0"/>
        <v>4121</v>
      </c>
      <c r="J9" s="30">
        <f t="shared" si="0"/>
        <v>4121</v>
      </c>
    </row>
    <row r="10" spans="1:10" ht="24" customHeight="1" thickBot="1" x14ac:dyDescent="0.3">
      <c r="A10" s="31" t="s">
        <v>33</v>
      </c>
      <c r="B10" s="32" t="s">
        <v>33</v>
      </c>
      <c r="C10" s="33">
        <v>5500</v>
      </c>
      <c r="D10" s="33">
        <f>IF(MROUND(5300*RPIM,50)&gt;$C10,$C10,MROUND(5300*RPIM,50))</f>
        <v>5350</v>
      </c>
      <c r="E10" s="33">
        <f>IF(MROUND(5250*RPIM,50)&gt;$C10,$C10,MROUND(5250*RPIM,50))</f>
        <v>5300</v>
      </c>
      <c r="F10" s="33">
        <f>IF(MROUND(5250*RPIM,50)&gt;$C10,$C10,MROUND(5250*RPIM,50))</f>
        <v>5300</v>
      </c>
      <c r="G10" s="33">
        <f>IF(MROUND(4200*RPIM,50)&gt;$C10,$C10,MROUND(4200*RPIM,50))</f>
        <v>4250</v>
      </c>
      <c r="H10" s="33">
        <f t="shared" ref="H10:J11" si="1">RCFee</f>
        <v>4121</v>
      </c>
      <c r="I10" s="33">
        <f t="shared" si="1"/>
        <v>4121</v>
      </c>
      <c r="J10" s="34">
        <f t="shared" si="1"/>
        <v>4121</v>
      </c>
    </row>
    <row r="11" spans="1:10" ht="24" customHeight="1" x14ac:dyDescent="0.25">
      <c r="A11" s="168" t="s">
        <v>40</v>
      </c>
      <c r="B11" s="35" t="s">
        <v>43</v>
      </c>
      <c r="C11" s="94">
        <v>5000</v>
      </c>
      <c r="D11" s="158">
        <f>RCFee</f>
        <v>4121</v>
      </c>
      <c r="E11" s="158">
        <f>RCFee</f>
        <v>4121</v>
      </c>
      <c r="F11" s="158">
        <f>RCFee</f>
        <v>4121</v>
      </c>
      <c r="G11" s="158">
        <f>RCFee</f>
        <v>4121</v>
      </c>
      <c r="H11" s="158">
        <f t="shared" si="1"/>
        <v>4121</v>
      </c>
      <c r="I11" s="158">
        <f t="shared" si="1"/>
        <v>4121</v>
      </c>
      <c r="J11" s="160">
        <f t="shared" si="1"/>
        <v>4121</v>
      </c>
    </row>
    <row r="12" spans="1:10" ht="55.5" customHeight="1" x14ac:dyDescent="0.25">
      <c r="A12" s="169"/>
      <c r="B12" s="96" t="s">
        <v>27</v>
      </c>
      <c r="C12" s="163">
        <v>4121</v>
      </c>
      <c r="D12" s="163"/>
      <c r="E12" s="163"/>
      <c r="F12" s="163"/>
      <c r="G12" s="163"/>
      <c r="H12" s="163"/>
      <c r="I12" s="163"/>
      <c r="J12" s="161"/>
    </row>
    <row r="13" spans="1:10" ht="19.5" customHeight="1" x14ac:dyDescent="0.25">
      <c r="A13" s="169"/>
      <c r="B13" s="12" t="s">
        <v>28</v>
      </c>
      <c r="C13" s="163"/>
      <c r="D13" s="163"/>
      <c r="E13" s="163"/>
      <c r="F13" s="163"/>
      <c r="G13" s="163"/>
      <c r="H13" s="163"/>
      <c r="I13" s="163"/>
      <c r="J13" s="161"/>
    </row>
    <row r="14" spans="1:10" ht="19.5" customHeight="1" x14ac:dyDescent="0.25">
      <c r="A14" s="169"/>
      <c r="B14" s="12" t="s">
        <v>29</v>
      </c>
      <c r="C14" s="163"/>
      <c r="D14" s="163"/>
      <c r="E14" s="163"/>
      <c r="F14" s="163"/>
      <c r="G14" s="163"/>
      <c r="H14" s="163"/>
      <c r="I14" s="163"/>
      <c r="J14" s="161"/>
    </row>
    <row r="15" spans="1:10" ht="19.5" customHeight="1" thickBot="1" x14ac:dyDescent="0.3">
      <c r="A15" s="170"/>
      <c r="B15" s="36" t="s">
        <v>30</v>
      </c>
      <c r="C15" s="164"/>
      <c r="D15" s="164"/>
      <c r="E15" s="164"/>
      <c r="F15" s="164"/>
      <c r="G15" s="164"/>
      <c r="H15" s="164"/>
      <c r="I15" s="164"/>
      <c r="J15" s="165"/>
    </row>
    <row r="16" spans="1:10" ht="19.5" customHeight="1" x14ac:dyDescent="0.25">
      <c r="A16" s="168" t="s">
        <v>50</v>
      </c>
      <c r="B16" s="37" t="s">
        <v>44</v>
      </c>
      <c r="C16" s="158">
        <f t="shared" ref="C16:J16" si="2">RCFee</f>
        <v>4121</v>
      </c>
      <c r="D16" s="158">
        <f t="shared" si="2"/>
        <v>4121</v>
      </c>
      <c r="E16" s="158">
        <f t="shared" si="2"/>
        <v>4121</v>
      </c>
      <c r="F16" s="158">
        <f t="shared" si="2"/>
        <v>4121</v>
      </c>
      <c r="G16" s="158">
        <f t="shared" si="2"/>
        <v>4121</v>
      </c>
      <c r="H16" s="158">
        <f t="shared" si="2"/>
        <v>4121</v>
      </c>
      <c r="I16" s="158">
        <f t="shared" si="2"/>
        <v>4121</v>
      </c>
      <c r="J16" s="160">
        <f t="shared" si="2"/>
        <v>4121</v>
      </c>
    </row>
    <row r="17" spans="1:10" ht="19.5" customHeight="1" x14ac:dyDescent="0.25">
      <c r="A17" s="169"/>
      <c r="B17" s="14" t="s">
        <v>45</v>
      </c>
      <c r="C17" s="163"/>
      <c r="D17" s="163"/>
      <c r="E17" s="163"/>
      <c r="F17" s="163"/>
      <c r="G17" s="163"/>
      <c r="H17" s="163"/>
      <c r="I17" s="163"/>
      <c r="J17" s="161"/>
    </row>
    <row r="18" spans="1:10" ht="18" customHeight="1" x14ac:dyDescent="0.25">
      <c r="A18" s="169"/>
      <c r="B18" s="14" t="s">
        <v>46</v>
      </c>
      <c r="C18" s="159"/>
      <c r="D18" s="159"/>
      <c r="E18" s="159"/>
      <c r="F18" s="159"/>
      <c r="G18" s="159"/>
      <c r="H18" s="159"/>
      <c r="I18" s="159"/>
      <c r="J18" s="162"/>
    </row>
    <row r="19" spans="1:10" ht="18" customHeight="1" thickBot="1" x14ac:dyDescent="0.3">
      <c r="A19" s="170"/>
      <c r="B19" s="38" t="s">
        <v>47</v>
      </c>
      <c r="C19" s="29">
        <v>4500</v>
      </c>
      <c r="D19" s="29">
        <f t="shared" ref="D19:J19" si="3">IF(MROUND(4500*RPIM,50)&gt;$C19,$C19,MROUND(4500*RPIM,50))</f>
        <v>4500</v>
      </c>
      <c r="E19" s="29">
        <f t="shared" si="3"/>
        <v>4500</v>
      </c>
      <c r="F19" s="29">
        <f t="shared" si="3"/>
        <v>4500</v>
      </c>
      <c r="G19" s="29">
        <f t="shared" si="3"/>
        <v>4500</v>
      </c>
      <c r="H19" s="29">
        <f t="shared" si="3"/>
        <v>4500</v>
      </c>
      <c r="I19" s="29">
        <f t="shared" si="3"/>
        <v>4500</v>
      </c>
      <c r="J19" s="30">
        <f t="shared" si="3"/>
        <v>4500</v>
      </c>
    </row>
    <row r="20" spans="1:10" ht="18" customHeight="1" x14ac:dyDescent="0.25"/>
    <row r="21" spans="1:10" ht="18" customHeight="1" x14ac:dyDescent="0.25">
      <c r="A21" s="3" t="s">
        <v>31</v>
      </c>
      <c r="B21" s="95" t="s">
        <v>175</v>
      </c>
      <c r="C21" s="95"/>
      <c r="D21" s="95"/>
      <c r="E21" s="95"/>
      <c r="F21" s="95"/>
      <c r="G21" s="95"/>
      <c r="H21" s="95"/>
      <c r="I21" s="95"/>
      <c r="J21" s="95"/>
    </row>
    <row r="23" spans="1:10" ht="15" customHeight="1" x14ac:dyDescent="0.25"/>
  </sheetData>
  <mergeCells count="29">
    <mergeCell ref="A4:J4"/>
    <mergeCell ref="A2:J2"/>
    <mergeCell ref="C16:C18"/>
    <mergeCell ref="D11:D15"/>
    <mergeCell ref="E11:E15"/>
    <mergeCell ref="F11:F15"/>
    <mergeCell ref="A11:A15"/>
    <mergeCell ref="A7:A9"/>
    <mergeCell ref="G16:G18"/>
    <mergeCell ref="H16:H18"/>
    <mergeCell ref="I16:I18"/>
    <mergeCell ref="A16:A19"/>
    <mergeCell ref="F16:F18"/>
    <mergeCell ref="C12:C15"/>
    <mergeCell ref="E7:E8"/>
    <mergeCell ref="D7:D8"/>
    <mergeCell ref="C7:C8"/>
    <mergeCell ref="J16:J18"/>
    <mergeCell ref="J7:J8"/>
    <mergeCell ref="I7:I8"/>
    <mergeCell ref="H7:H8"/>
    <mergeCell ref="G7:G8"/>
    <mergeCell ref="F7:F8"/>
    <mergeCell ref="G11:G15"/>
    <mergeCell ref="H11:H15"/>
    <mergeCell ref="I11:I15"/>
    <mergeCell ref="J11:J15"/>
    <mergeCell ref="D16:D18"/>
    <mergeCell ref="E16:E1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6EFCE"/>
  </sheetPr>
  <dimension ref="A1:J21"/>
  <sheetViews>
    <sheetView zoomScaleNormal="100" workbookViewId="0">
      <selection activeCell="C10" sqref="C10"/>
    </sheetView>
  </sheetViews>
  <sheetFormatPr defaultRowHeight="15" x14ac:dyDescent="0.25"/>
  <cols>
    <col min="1" max="1" width="3.85546875" bestFit="1" customWidth="1"/>
    <col min="2" max="2" width="35.7109375" customWidth="1"/>
    <col min="3" max="10" width="11.42578125" customWidth="1"/>
  </cols>
  <sheetData>
    <row r="1" spans="1:10" ht="7.5" customHeight="1" x14ac:dyDescent="0.25">
      <c r="A1" s="2"/>
      <c r="B1" s="2"/>
      <c r="C1" s="2"/>
      <c r="D1" s="2"/>
      <c r="E1" s="2"/>
      <c r="F1" s="2"/>
      <c r="G1" s="2"/>
      <c r="H1" s="2"/>
      <c r="I1" s="2"/>
      <c r="J1" s="2"/>
    </row>
    <row r="2" spans="1:10" ht="30" customHeight="1" x14ac:dyDescent="0.25">
      <c r="A2" s="166" t="s">
        <v>293</v>
      </c>
      <c r="B2" s="166"/>
      <c r="C2" s="166"/>
      <c r="D2" s="166"/>
      <c r="E2" s="166"/>
      <c r="F2" s="166"/>
      <c r="G2" s="166"/>
      <c r="H2" s="166"/>
      <c r="I2" s="166"/>
      <c r="J2" s="166"/>
    </row>
    <row r="3" spans="1:10" ht="7.5" customHeight="1" x14ac:dyDescent="0.25">
      <c r="A3" s="2"/>
      <c r="B3" s="2"/>
      <c r="C3" s="2"/>
      <c r="D3" s="2"/>
      <c r="E3" s="2"/>
      <c r="F3" s="2"/>
      <c r="G3" s="2"/>
      <c r="H3" s="2"/>
      <c r="I3" s="2"/>
      <c r="J3" s="2"/>
    </row>
    <row r="4" spans="1:10" x14ac:dyDescent="0.25">
      <c r="A4" s="166" t="s">
        <v>52</v>
      </c>
      <c r="B4" s="166"/>
      <c r="C4" s="166"/>
      <c r="D4" s="166"/>
      <c r="E4" s="166"/>
      <c r="F4" s="166"/>
      <c r="G4" s="166"/>
      <c r="H4" s="166"/>
      <c r="I4" s="166"/>
      <c r="J4" s="166"/>
    </row>
    <row r="5" spans="1:10" ht="7.5" customHeight="1" thickBot="1" x14ac:dyDescent="0.3">
      <c r="A5" s="9"/>
    </row>
    <row r="6" spans="1:10" ht="45.75" thickBot="1" x14ac:dyDescent="0.3">
      <c r="A6" s="13"/>
      <c r="B6" s="18" t="str">
        <f>UGHEU!B4</f>
        <v>Subject</v>
      </c>
      <c r="C6" s="19" t="str">
        <f>UGHEU!C4</f>
        <v>2016
Cohort</v>
      </c>
      <c r="D6" s="19" t="str">
        <f>UGHEU!D4</f>
        <v>2015
Cohort</v>
      </c>
      <c r="E6" s="19" t="str">
        <f>UGHEU!E4</f>
        <v>2014
Cohort</v>
      </c>
      <c r="F6" s="19" t="str">
        <f>UGHEU!F4</f>
        <v>2013
Cohort</v>
      </c>
      <c r="G6" s="19" t="str">
        <f>UGHEU!G4</f>
        <v>2012
Cohort</v>
      </c>
      <c r="H6" s="19" t="str">
        <f>UGHEU!H4</f>
        <v>2011
Cohort</v>
      </c>
      <c r="I6" s="19" t="str">
        <f>UGHEU!I4</f>
        <v>2010
Cohort</v>
      </c>
      <c r="J6" s="20" t="str">
        <f>UGHEU!J4</f>
        <v>All Previous Cohorts</v>
      </c>
    </row>
    <row r="7" spans="1:10" ht="24" customHeight="1" x14ac:dyDescent="0.25">
      <c r="A7" s="97" t="s">
        <v>39</v>
      </c>
      <c r="B7" s="16" t="s">
        <v>49</v>
      </c>
      <c r="C7" s="158">
        <v>26800</v>
      </c>
      <c r="D7" s="158">
        <f>IF(MROUND(26100*RPIM,500)&gt;$C7,$C7,MROUND(26100*RPIM,500))</f>
        <v>26500</v>
      </c>
      <c r="E7" s="158">
        <f t="shared" ref="E7:J7" si="0">IF(MROUND(26000*RPIM,500)&gt;$C7,$C7,MROUND(26000*RPIM,500))</f>
        <v>26500</v>
      </c>
      <c r="F7" s="158">
        <f t="shared" si="0"/>
        <v>26500</v>
      </c>
      <c r="G7" s="158">
        <f t="shared" si="0"/>
        <v>26500</v>
      </c>
      <c r="H7" s="158">
        <f t="shared" si="0"/>
        <v>26500</v>
      </c>
      <c r="I7" s="158">
        <f t="shared" si="0"/>
        <v>26500</v>
      </c>
      <c r="J7" s="160">
        <f t="shared" si="0"/>
        <v>26500</v>
      </c>
    </row>
    <row r="8" spans="1:10" ht="24" customHeight="1" x14ac:dyDescent="0.25">
      <c r="A8" s="98"/>
      <c r="B8" s="4" t="s">
        <v>48</v>
      </c>
      <c r="C8" s="159"/>
      <c r="D8" s="159"/>
      <c r="E8" s="159"/>
      <c r="F8" s="159"/>
      <c r="G8" s="159"/>
      <c r="H8" s="159"/>
      <c r="I8" s="159"/>
      <c r="J8" s="162"/>
    </row>
    <row r="9" spans="1:10" ht="24" customHeight="1" thickBot="1" x14ac:dyDescent="0.3">
      <c r="A9" s="99"/>
      <c r="B9" s="17" t="s">
        <v>121</v>
      </c>
      <c r="C9" s="29">
        <v>21500</v>
      </c>
      <c r="D9" s="29">
        <f>IF(MROUND(20500*RPIM,500)&gt;$C9,$C9,MROUND(20500*RPIM,500))</f>
        <v>21000</v>
      </c>
      <c r="E9" s="29">
        <f>IF(MROUND(20500*RPIM,500)&gt;$C9,$C9,MROUND(20500*RPIM,500))</f>
        <v>21000</v>
      </c>
      <c r="F9" s="29">
        <f>IF(MROUND(20500*RPIM,500)&gt;$C9,$C9,MROUND(20500*RPIM,500))</f>
        <v>21000</v>
      </c>
      <c r="G9" s="29">
        <f>IF(MROUND(20500*RPIM,500)&gt;$C9,$C9,MROUND(20500*RPIM,500))</f>
        <v>21000</v>
      </c>
      <c r="H9" s="29">
        <f>IF(MROUND(20500*RPIM,500)&gt;$C9,$C9,MROUND(20500*RPIM,500))</f>
        <v>21000</v>
      </c>
      <c r="I9" s="29">
        <f>IF(MROUND(20000*RPIM,500)&gt;$C9,$C9,MROUND(20000*RPIM,500))</f>
        <v>20500</v>
      </c>
      <c r="J9" s="30">
        <f>IF(MROUND(19500*RPIM,500)&gt;$C9,$C9,MROUND(19500*RPIM,500))</f>
        <v>20000</v>
      </c>
    </row>
    <row r="10" spans="1:10" ht="55.5" customHeight="1" thickBot="1" x14ac:dyDescent="0.3">
      <c r="A10" s="31" t="s">
        <v>33</v>
      </c>
      <c r="B10" s="32" t="s">
        <v>33</v>
      </c>
      <c r="C10" s="33">
        <v>35000</v>
      </c>
      <c r="D10" s="33">
        <f t="shared" ref="D10:J10" si="1">IF(MROUND(30000*RPIM,500)&gt;$C10,$C10,MROUND(30000*RPIM,500))</f>
        <v>30500</v>
      </c>
      <c r="E10" s="33">
        <f t="shared" si="1"/>
        <v>30500</v>
      </c>
      <c r="F10" s="33">
        <f t="shared" si="1"/>
        <v>30500</v>
      </c>
      <c r="G10" s="33">
        <f t="shared" si="1"/>
        <v>30500</v>
      </c>
      <c r="H10" s="33">
        <f t="shared" si="1"/>
        <v>30500</v>
      </c>
      <c r="I10" s="33">
        <f t="shared" si="1"/>
        <v>30500</v>
      </c>
      <c r="J10" s="34">
        <f t="shared" si="1"/>
        <v>30500</v>
      </c>
    </row>
    <row r="11" spans="1:10" ht="19.5" customHeight="1" x14ac:dyDescent="0.25">
      <c r="A11" s="168" t="s">
        <v>40</v>
      </c>
      <c r="B11" s="35" t="s">
        <v>27</v>
      </c>
      <c r="C11" s="39">
        <v>27700</v>
      </c>
      <c r="D11" s="39">
        <f>IF(MROUND(27100*RPIM,500)&gt;$C11,$C11,MROUND(27100*RPIM,500))</f>
        <v>27500</v>
      </c>
      <c r="E11" s="39">
        <f t="shared" ref="E11:J11" si="2">IF(MROUND(27000*RPIM,500)&gt;$C11,$C11,MROUND(27000*RPIM,500))</f>
        <v>27500</v>
      </c>
      <c r="F11" s="39">
        <f t="shared" si="2"/>
        <v>27500</v>
      </c>
      <c r="G11" s="39">
        <f t="shared" si="2"/>
        <v>27500</v>
      </c>
      <c r="H11" s="39">
        <f t="shared" si="2"/>
        <v>27500</v>
      </c>
      <c r="I11" s="39">
        <f t="shared" si="2"/>
        <v>27500</v>
      </c>
      <c r="J11" s="40">
        <f t="shared" si="2"/>
        <v>27500</v>
      </c>
    </row>
    <row r="12" spans="1:10" ht="19.5" customHeight="1" x14ac:dyDescent="0.25">
      <c r="A12" s="169"/>
      <c r="B12" s="12" t="s">
        <v>43</v>
      </c>
      <c r="C12" s="6">
        <v>21800</v>
      </c>
      <c r="D12" s="6">
        <f>IF(MROUND(21300*RPIM,500)&gt;$C12,$C12,MROUND(21300*RPIM,500))</f>
        <v>21500</v>
      </c>
      <c r="E12" s="6">
        <f>IF(MROUND(21300*RPIM,500)&gt;$C12,$C12,MROUND(21300*RPIM,500))</f>
        <v>21500</v>
      </c>
      <c r="F12" s="6">
        <f>IF(MROUND(21000*RPIM,500)&gt;$C12,$C12,MROUND(21000*RPIM,500))</f>
        <v>21500</v>
      </c>
      <c r="G12" s="6">
        <f>IF(MROUND(21000*RPIM,500)&gt;$C12,$C12,MROUND(21000*RPIM,500))</f>
        <v>21500</v>
      </c>
      <c r="H12" s="6">
        <f>IF(MROUND(21000*RPIM,500)&gt;$C12,$C12,MROUND(21000*RPIM,500))</f>
        <v>21500</v>
      </c>
      <c r="I12" s="6">
        <f>IF(MROUND(20500*RPIM,500)&gt;$C12,$C12,MROUND(20500*RPIM,500))</f>
        <v>21000</v>
      </c>
      <c r="J12" s="41">
        <f>IF(MROUND(20000*RPIM,500)&gt;$C12,$C12,MROUND(20000*RPIM,500))</f>
        <v>20500</v>
      </c>
    </row>
    <row r="13" spans="1:10" ht="19.5" customHeight="1" x14ac:dyDescent="0.25">
      <c r="A13" s="169"/>
      <c r="B13" s="12" t="s">
        <v>28</v>
      </c>
      <c r="C13" s="6">
        <v>22000</v>
      </c>
      <c r="D13" s="6">
        <f>IF(MROUND(21300*RPIM,500)&gt;$C13,$C13,MROUND(21300*RPIM,500))</f>
        <v>21500</v>
      </c>
      <c r="E13" s="6">
        <f>IF(MROUND(21300*RPIM,500)&gt;$C13,$C13,MROUND(21300*RPIM,500))</f>
        <v>21500</v>
      </c>
      <c r="F13" s="6">
        <f>IF(MROUND(21300*RPIM,500)&gt;$C13,$C13,MROUND(21300*RPIM,500))</f>
        <v>21500</v>
      </c>
      <c r="G13" s="6">
        <f>IF(MROUND(21300*RPIM,500)&gt;$C13,$C13,MROUND(21300*RPIM,500))</f>
        <v>21500</v>
      </c>
      <c r="H13" s="6">
        <f>IF(MROUND(21300*RPIM,500)&gt;$C13,$C13,MROUND(21300*RPIM,500))</f>
        <v>21500</v>
      </c>
      <c r="I13" s="6">
        <f>IF(MROUND(21300*RPIM,500)&gt;$C13,$C13,MROUND(21300*RPIM,500))</f>
        <v>21500</v>
      </c>
      <c r="J13" s="41">
        <f>IF(MROUND(21300*RPIM,500)&gt;$C13,$C13,MROUND(21300*RPIM,500))</f>
        <v>21500</v>
      </c>
    </row>
    <row r="14" spans="1:10" ht="19.5" customHeight="1" x14ac:dyDescent="0.25">
      <c r="A14" s="169"/>
      <c r="B14" s="12" t="s">
        <v>29</v>
      </c>
      <c r="C14" s="6">
        <v>20200</v>
      </c>
      <c r="D14" s="6">
        <f t="shared" ref="D14:J14" si="3">IF(MROUND(19800*RPIM,500)&gt;$C14,$C14,MROUND(19800*RPIM,500))</f>
        <v>20000</v>
      </c>
      <c r="E14" s="6">
        <f t="shared" si="3"/>
        <v>20000</v>
      </c>
      <c r="F14" s="6">
        <f t="shared" si="3"/>
        <v>20000</v>
      </c>
      <c r="G14" s="6">
        <f t="shared" si="3"/>
        <v>20000</v>
      </c>
      <c r="H14" s="6">
        <f t="shared" si="3"/>
        <v>20000</v>
      </c>
      <c r="I14" s="6">
        <f t="shared" si="3"/>
        <v>20000</v>
      </c>
      <c r="J14" s="41">
        <f t="shared" si="3"/>
        <v>20000</v>
      </c>
    </row>
    <row r="15" spans="1:10" ht="19.5" customHeight="1" thickBot="1" x14ac:dyDescent="0.3">
      <c r="A15" s="170"/>
      <c r="B15" s="36" t="s">
        <v>30</v>
      </c>
      <c r="C15" s="29">
        <v>23500</v>
      </c>
      <c r="D15" s="29">
        <f>IF(MROUND(22500*RPIM,500)&gt;$C15,$C15,MROUND(22500*RPIM,500))</f>
        <v>23000</v>
      </c>
      <c r="E15" s="29">
        <f>IF(MROUND(22500*RPIM,500)&gt;$C15,$C15,MROUND(22500*RPIM,500))</f>
        <v>23000</v>
      </c>
      <c r="F15" s="29">
        <f>IF(MROUND(22500*RPIM,500)&gt;$C15,$C15,MROUND(22500*RPIM,500))</f>
        <v>23000</v>
      </c>
      <c r="G15" s="29">
        <f>IF(MROUND(22500*RPIM,500)&gt;$C15,$C15,MROUND(22500*RPIM,500))</f>
        <v>23000</v>
      </c>
      <c r="H15" s="29">
        <f>IF(MROUND(22500*RPIM,500)&gt;$C15,$C15,MROUND(22500*RPIM,500))</f>
        <v>23000</v>
      </c>
      <c r="I15" s="29">
        <f>IF(MROUND(20500*RPIM,500)&gt;$C15,$C15,MROUND(20500*RPIM,500))</f>
        <v>21000</v>
      </c>
      <c r="J15" s="30">
        <f>IF(MROUND(20000*RPIM,500)&gt;$C15,$C15,MROUND(20000*RPIM,500))</f>
        <v>20500</v>
      </c>
    </row>
    <row r="16" spans="1:10" ht="19.5" customHeight="1" x14ac:dyDescent="0.25">
      <c r="A16" s="168" t="s">
        <v>50</v>
      </c>
      <c r="B16" s="37" t="s">
        <v>44</v>
      </c>
      <c r="C16" s="39">
        <v>14900</v>
      </c>
      <c r="D16" s="39">
        <f>IF(MROUND(14600*RPIM,500)&gt;$C16,$C16,MROUND(14600*RPIM,500))</f>
        <v>14900</v>
      </c>
      <c r="E16" s="39">
        <f t="shared" ref="E16:J16" si="4">IF(MROUND(14500*RPIM,500)&gt;$C16,$C16,MROUND(14500*RPIM,500))</f>
        <v>14500</v>
      </c>
      <c r="F16" s="39">
        <f t="shared" si="4"/>
        <v>14500</v>
      </c>
      <c r="G16" s="39">
        <f t="shared" si="4"/>
        <v>14500</v>
      </c>
      <c r="H16" s="39">
        <f t="shared" si="4"/>
        <v>14500</v>
      </c>
      <c r="I16" s="39">
        <f t="shared" si="4"/>
        <v>14500</v>
      </c>
      <c r="J16" s="40">
        <f t="shared" si="4"/>
        <v>14500</v>
      </c>
    </row>
    <row r="17" spans="1:10" ht="19.5" customHeight="1" x14ac:dyDescent="0.25">
      <c r="A17" s="169"/>
      <c r="B17" s="14" t="s">
        <v>45</v>
      </c>
      <c r="C17" s="172">
        <v>19800</v>
      </c>
      <c r="D17" s="6">
        <f>IF(MROUND(19400*RPIM,500)&gt;$C17,$C17,MROUND(19400*RPIM,500))</f>
        <v>19500</v>
      </c>
      <c r="E17" s="6">
        <f>IF(MROUND(19400*RPIM,500)&gt;$C17,$C17,MROUND(19400*RPIM,500))</f>
        <v>19500</v>
      </c>
      <c r="F17" s="172">
        <f>IF(MROUND(18000*RPIM,500)&gt;$C17,$C17,MROUND(18000*RPIM,500))</f>
        <v>18000</v>
      </c>
      <c r="G17" s="172">
        <f>IF(MROUND(16500*RPIM,500)&gt;$C17,$C17,MROUND(16500*RPIM,500))</f>
        <v>16500</v>
      </c>
      <c r="H17" s="172">
        <f>IF(MROUND(16500*RPIM,500)&gt;$C17,$C17,MROUND(16500*RPIM,500))</f>
        <v>16500</v>
      </c>
      <c r="I17" s="172">
        <f>IF(MROUND(16000*RPIM,500)&gt;$C17,$C17,MROUND(16000*RPIM,500))</f>
        <v>16000</v>
      </c>
      <c r="J17" s="173">
        <f>IF(MROUND(15500*RPIM,500)&gt;$C17,$C17,MROUND(15500*RPIM,500))</f>
        <v>15500</v>
      </c>
    </row>
    <row r="18" spans="1:10" ht="19.5" customHeight="1" x14ac:dyDescent="0.25">
      <c r="A18" s="169"/>
      <c r="B18" s="14" t="s">
        <v>46</v>
      </c>
      <c r="C18" s="159"/>
      <c r="D18" s="6">
        <f>IF(MROUND(17900*RPIM,500)&gt;$C17,$C17,MROUND(17900*RPIM,500))</f>
        <v>18000</v>
      </c>
      <c r="E18" s="6">
        <f>IF(MROUND(17900*RPIM,500)&gt;$C17,$C17,MROUND(17900*RPIM,500))</f>
        <v>18000</v>
      </c>
      <c r="F18" s="159"/>
      <c r="G18" s="159"/>
      <c r="H18" s="159"/>
      <c r="I18" s="159"/>
      <c r="J18" s="162"/>
    </row>
    <row r="19" spans="1:10" ht="19.5" customHeight="1" thickBot="1" x14ac:dyDescent="0.3">
      <c r="A19" s="170"/>
      <c r="B19" s="38" t="s">
        <v>47</v>
      </c>
      <c r="C19" s="29">
        <v>26000</v>
      </c>
      <c r="D19" s="29">
        <f t="shared" ref="D19:J19" si="5">IF(MROUND(26000*RPIM,500)&gt;$C19,$C19,MROUND(26000*RPIM,500))</f>
        <v>26000</v>
      </c>
      <c r="E19" s="29">
        <f t="shared" si="5"/>
        <v>26000</v>
      </c>
      <c r="F19" s="29">
        <f t="shared" si="5"/>
        <v>26000</v>
      </c>
      <c r="G19" s="29">
        <f t="shared" si="5"/>
        <v>26000</v>
      </c>
      <c r="H19" s="29">
        <f t="shared" si="5"/>
        <v>26000</v>
      </c>
      <c r="I19" s="29">
        <f t="shared" si="5"/>
        <v>26000</v>
      </c>
      <c r="J19" s="30">
        <f t="shared" si="5"/>
        <v>26000</v>
      </c>
    </row>
    <row r="20" spans="1:10" ht="7.5" customHeight="1" x14ac:dyDescent="0.25">
      <c r="A20" s="9"/>
    </row>
    <row r="21" spans="1:10" ht="15" customHeight="1" x14ac:dyDescent="0.25">
      <c r="A21" s="3" t="s">
        <v>31</v>
      </c>
      <c r="B21" s="171" t="s">
        <v>175</v>
      </c>
      <c r="C21" s="171"/>
      <c r="D21" s="171"/>
      <c r="E21" s="171"/>
      <c r="F21" s="171"/>
      <c r="G21" s="171"/>
      <c r="H21" s="171"/>
      <c r="I21" s="171"/>
      <c r="J21" s="171"/>
    </row>
  </sheetData>
  <mergeCells count="20">
    <mergeCell ref="A2:J2"/>
    <mergeCell ref="A4:J4"/>
    <mergeCell ref="A7:A9"/>
    <mergeCell ref="A11:A15"/>
    <mergeCell ref="A16:A19"/>
    <mergeCell ref="B21:J21"/>
    <mergeCell ref="C7:C8"/>
    <mergeCell ref="D7:D8"/>
    <mergeCell ref="E7:E8"/>
    <mergeCell ref="F7:F8"/>
    <mergeCell ref="G7:G8"/>
    <mergeCell ref="H7:H8"/>
    <mergeCell ref="I7:I8"/>
    <mergeCell ref="J7:J8"/>
    <mergeCell ref="C17:C18"/>
    <mergeCell ref="F17:F18"/>
    <mergeCell ref="J17:J18"/>
    <mergeCell ref="I17:I18"/>
    <mergeCell ref="H17:H18"/>
    <mergeCell ref="G17:G1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6EFCE"/>
  </sheetPr>
  <dimension ref="A1:E14"/>
  <sheetViews>
    <sheetView zoomScaleNormal="100" workbookViewId="0">
      <selection activeCell="E2" sqref="E2"/>
    </sheetView>
  </sheetViews>
  <sheetFormatPr defaultRowHeight="15" x14ac:dyDescent="0.25"/>
  <cols>
    <col min="1" max="1" width="2.42578125" style="1" bestFit="1" customWidth="1"/>
    <col min="2" max="2" width="28.5703125" customWidth="1"/>
    <col min="3" max="3" width="50" customWidth="1"/>
    <col min="4" max="4" width="32.85546875" customWidth="1"/>
    <col min="5" max="5" width="17.140625" customWidth="1"/>
  </cols>
  <sheetData>
    <row r="1" spans="1:5" x14ac:dyDescent="0.25">
      <c r="B1" s="174" t="s">
        <v>236</v>
      </c>
      <c r="C1" s="174"/>
      <c r="D1" s="174"/>
      <c r="E1" s="174"/>
    </row>
    <row r="2" spans="1:5" x14ac:dyDescent="0.25">
      <c r="B2" s="179" t="s">
        <v>53</v>
      </c>
      <c r="C2" s="180"/>
      <c r="D2" s="181"/>
      <c r="E2" s="42">
        <v>1000</v>
      </c>
    </row>
    <row r="3" spans="1:5" x14ac:dyDescent="0.25">
      <c r="B3" s="179" t="s">
        <v>237</v>
      </c>
      <c r="C3" s="180"/>
      <c r="D3" s="180"/>
      <c r="E3" s="181"/>
    </row>
    <row r="4" spans="1:5" x14ac:dyDescent="0.25">
      <c r="B4" s="182" t="s">
        <v>231</v>
      </c>
      <c r="C4" s="183"/>
      <c r="D4" s="183"/>
      <c r="E4" s="184"/>
    </row>
    <row r="5" spans="1:5" x14ac:dyDescent="0.25">
      <c r="B5" s="176" t="s">
        <v>238</v>
      </c>
      <c r="C5" s="177"/>
      <c r="D5" s="178"/>
      <c r="E5" s="42">
        <v>150</v>
      </c>
    </row>
    <row r="6" spans="1:5" x14ac:dyDescent="0.25">
      <c r="B6" s="176" t="s">
        <v>239</v>
      </c>
      <c r="C6" s="177"/>
      <c r="D6" s="178"/>
      <c r="E6" s="42">
        <v>250</v>
      </c>
    </row>
    <row r="7" spans="1:5" x14ac:dyDescent="0.25">
      <c r="B7" s="182" t="s">
        <v>230</v>
      </c>
      <c r="C7" s="183"/>
      <c r="D7" s="183"/>
      <c r="E7" s="185"/>
    </row>
    <row r="8" spans="1:5" x14ac:dyDescent="0.25">
      <c r="B8" s="176" t="s">
        <v>55</v>
      </c>
      <c r="C8" s="177"/>
      <c r="D8" s="178"/>
      <c r="E8" s="42">
        <v>120</v>
      </c>
    </row>
    <row r="9" spans="1:5" x14ac:dyDescent="0.25">
      <c r="B9" s="186" t="s">
        <v>56</v>
      </c>
      <c r="C9" s="43" t="s">
        <v>57</v>
      </c>
      <c r="D9" s="43" t="s">
        <v>54</v>
      </c>
      <c r="E9" s="44">
        <v>200</v>
      </c>
    </row>
    <row r="10" spans="1:5" x14ac:dyDescent="0.25">
      <c r="B10" s="186"/>
      <c r="C10" s="43" t="s">
        <v>58</v>
      </c>
      <c r="D10" s="43" t="s">
        <v>59</v>
      </c>
      <c r="E10" s="44">
        <v>270</v>
      </c>
    </row>
    <row r="11" spans="1:5" x14ac:dyDescent="0.25">
      <c r="B11" s="176" t="s">
        <v>235</v>
      </c>
      <c r="C11" s="177"/>
      <c r="D11" s="178"/>
      <c r="E11" s="42">
        <v>300</v>
      </c>
    </row>
    <row r="12" spans="1:5" ht="7.5" customHeight="1" x14ac:dyDescent="0.25"/>
    <row r="13" spans="1:5" ht="45" customHeight="1" x14ac:dyDescent="0.25">
      <c r="A13" s="45" t="s">
        <v>31</v>
      </c>
      <c r="B13" s="175" t="s">
        <v>240</v>
      </c>
      <c r="C13" s="175"/>
      <c r="D13" s="175"/>
      <c r="E13" s="175"/>
    </row>
    <row r="14" spans="1:5" ht="75" customHeight="1" x14ac:dyDescent="0.25">
      <c r="A14" s="86" t="s">
        <v>32</v>
      </c>
      <c r="B14" s="113" t="s">
        <v>241</v>
      </c>
      <c r="C14" s="113"/>
      <c r="D14" s="113"/>
      <c r="E14" s="113"/>
    </row>
  </sheetData>
  <mergeCells count="12">
    <mergeCell ref="B1:E1"/>
    <mergeCell ref="B13:E13"/>
    <mergeCell ref="B14:E14"/>
    <mergeCell ref="B11:D11"/>
    <mergeCell ref="B2:D2"/>
    <mergeCell ref="B3:E3"/>
    <mergeCell ref="B4:E4"/>
    <mergeCell ref="B5:D5"/>
    <mergeCell ref="B6:D6"/>
    <mergeCell ref="B7:E7"/>
    <mergeCell ref="B8:D8"/>
    <mergeCell ref="B9:B10"/>
  </mergeCells>
  <printOptions horizontalCentered="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209EFC078C0468895F78CFDE4EA38" ma:contentTypeVersion="6" ma:contentTypeDescription="Create a new document." ma:contentTypeScope="" ma:versionID="63324b5338aaa13edc468877b86985a8">
  <xsd:schema xmlns:xsd="http://www.w3.org/2001/XMLSchema" xmlns:xs="http://www.w3.org/2001/XMLSchema" xmlns:p="http://schemas.microsoft.com/office/2006/metadata/properties" xmlns:ns2="257361f3-5426-4d6c-b89a-e56777513e9e" xmlns:ns3="a62ee023-e8f0-40ed-8bbe-3e3f2cbb8c47" targetNamespace="http://schemas.microsoft.com/office/2006/metadata/properties" ma:root="true" ma:fieldsID="7fcbfb64ed8b533dd66c3d2b306c27bc" ns2:_="" ns3:_="">
    <xsd:import namespace="257361f3-5426-4d6c-b89a-e56777513e9e"/>
    <xsd:import namespace="a62ee023-e8f0-40ed-8bbe-3e3f2cbb8c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361f3-5426-4d6c-b89a-e56777513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2ee023-e8f0-40ed-8bbe-3e3f2cbb8c4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23A0B3-4185-47A7-A68B-37C2580E0647}"/>
</file>

<file path=customXml/itemProps2.xml><?xml version="1.0" encoding="utf-8"?>
<ds:datastoreItem xmlns:ds="http://schemas.openxmlformats.org/officeDocument/2006/customXml" ds:itemID="{888C0242-B77E-4B70-89FD-54FFB8770E5A}"/>
</file>

<file path=customXml/itemProps3.xml><?xml version="1.0" encoding="utf-8"?>
<ds:datastoreItem xmlns:ds="http://schemas.openxmlformats.org/officeDocument/2006/customXml" ds:itemID="{94DA1D3B-A154-4ABA-AE33-39DCC37558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UGHEU</vt:lpstr>
      <vt:lpstr>UGOI</vt:lpstr>
      <vt:lpstr>PGTHEU</vt:lpstr>
      <vt:lpstr>PGTOI</vt:lpstr>
      <vt:lpstr>PGRMHEU</vt:lpstr>
      <vt:lpstr>PGRMOI</vt:lpstr>
      <vt:lpstr>PGRHEU</vt:lpstr>
      <vt:lpstr>PGROI</vt:lpstr>
      <vt:lpstr>Miscellaneous</vt:lpstr>
      <vt:lpstr>Fee Policies</vt:lpstr>
      <vt:lpstr>Controlled Fees</vt:lpstr>
      <vt:lpstr>FeeYear</vt:lpstr>
      <vt:lpstr>PGRMHEU!Print_Titles</vt:lpstr>
      <vt:lpstr>PGTHEU!Print_Titles</vt:lpstr>
      <vt:lpstr>PGTOI!Print_Titles</vt:lpstr>
      <vt:lpstr>RCFee</vt:lpstr>
      <vt:lpstr>ReleaseYear</vt:lpstr>
      <vt:lpstr>RPIM</vt:lpstr>
      <vt:lpstr>UABP</vt:lpstr>
      <vt:lpstr>UGOlderRules</vt:lpstr>
      <vt:lpstr>UGOlderRulesRR</vt:lpstr>
      <vt:lpstr>UGOldRules</vt:lpstr>
      <vt:lpstr>UGOldRulesRR</vt:lpstr>
      <vt:lpstr>UGProgLen</vt:lpstr>
      <vt:lpstr>UGRRA</vt:lpstr>
      <vt:lpstr>UGRRI</vt:lpstr>
      <vt:lpstr>UGStd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2024-05-28T14:29:38Z</dcterms:created>
  <dcterms:modified xsi:type="dcterms:W3CDTF">2024-05-28T14:32:06Z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0x010100A32209EFC078C0468895F78CFDE4EA38</vt:lpwstr>
  </property>
</Properties>
</file>